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queryTables/queryTable1.xml" ContentType="application/vnd.openxmlformats-officedocument.spreadsheetml.query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75" windowWidth="13305" windowHeight="7545" tabRatio="599" activeTab="1"/>
  </bookViews>
  <sheets>
    <sheet name="Selection" sheetId="11" r:id="rId1"/>
    <sheet name=" Data" sheetId="9" r:id="rId2"/>
    <sheet name="Week Tide" sheetId="10" r:id="rId3"/>
    <sheet name="Base Times" sheetId="7" r:id="rId4"/>
    <sheet name="Marina" sheetId="8" r:id="rId5"/>
    <sheet name="Sights" sheetId="2" r:id="rId6"/>
    <sheet name="July Tides" sheetId="6" r:id="rId7"/>
    <sheet name="October Tides" sheetId="1" r:id="rId8"/>
    <sheet name="Sheet3" sheetId="3" r:id="rId9"/>
  </sheets>
  <definedNames>
    <definedName name="July">'July Tides'!$B$13:$AF$36</definedName>
    <definedName name="july_tides_practice_1" localSheetId="6">'July Tides'!$A$14:$AF$27</definedName>
    <definedName name="_xlnm.Print_Area" localSheetId="0">Selection!$A$11:$E$20</definedName>
  </definedNames>
  <calcPr calcId="152511"/>
</workbook>
</file>

<file path=xl/calcChain.xml><?xml version="1.0" encoding="utf-8"?>
<calcChain xmlns="http://schemas.openxmlformats.org/spreadsheetml/2006/main">
  <c r="I37" i="11" l="1"/>
  <c r="I38" i="11"/>
  <c r="I39" i="11"/>
  <c r="I40" i="11"/>
  <c r="I41" i="11"/>
  <c r="I36" i="11"/>
  <c r="I26" i="11"/>
  <c r="I27" i="11"/>
  <c r="I28" i="11"/>
  <c r="I29" i="11"/>
  <c r="I30" i="11"/>
  <c r="I25" i="11"/>
  <c r="I15" i="11"/>
  <c r="I16" i="11"/>
  <c r="I17" i="11"/>
  <c r="I18" i="11"/>
  <c r="I19" i="11"/>
  <c r="I14" i="11"/>
  <c r="A1" i="11" l="1"/>
  <c r="H14" i="11" s="1"/>
  <c r="U2" i="11" l="1"/>
  <c r="U3" i="11" s="1"/>
  <c r="U4" i="11" s="1"/>
  <c r="U5" i="11" s="1"/>
  <c r="U6" i="11" s="1"/>
  <c r="U7" i="11" s="1"/>
  <c r="U8" i="11" s="1"/>
  <c r="U9" i="11" s="1"/>
  <c r="U10" i="11" s="1"/>
  <c r="U11" i="11" s="1"/>
  <c r="U12" i="11" s="1"/>
  <c r="U13" i="11" s="1"/>
  <c r="U14" i="11" s="1"/>
  <c r="K23" i="11" l="1"/>
  <c r="R23" i="11" l="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B35" i="11" l="1"/>
  <c r="C35" i="11" s="1"/>
  <c r="C35" i="9" s="1"/>
  <c r="K34" i="11"/>
  <c r="A42" i="9"/>
  <c r="A41" i="9"/>
  <c r="A40" i="9"/>
  <c r="A39" i="9"/>
  <c r="A38" i="9"/>
  <c r="A37" i="9"/>
  <c r="A36" i="9"/>
  <c r="A35" i="9"/>
  <c r="B22" i="11"/>
  <c r="B33" i="11" s="1"/>
  <c r="B33" i="9" s="1"/>
  <c r="B35" i="9" l="1"/>
  <c r="B36" i="9"/>
  <c r="B36" i="11" s="1"/>
  <c r="B24" i="11"/>
  <c r="C24" i="11" s="1"/>
  <c r="C24" i="9" s="1"/>
  <c r="A31" i="9"/>
  <c r="A30" i="9"/>
  <c r="A29" i="9"/>
  <c r="A28" i="9"/>
  <c r="A27" i="9"/>
  <c r="A26" i="9"/>
  <c r="A25" i="9"/>
  <c r="A24" i="9"/>
  <c r="B13" i="11"/>
  <c r="C13" i="11" s="1"/>
  <c r="C13" i="9" s="1"/>
  <c r="C36" i="9" l="1"/>
  <c r="C36" i="11" s="1"/>
  <c r="B24" i="9"/>
  <c r="B25" i="9"/>
  <c r="B25" i="11" s="1"/>
  <c r="B13" i="9"/>
  <c r="B37" i="9" l="1"/>
  <c r="B37" i="11" s="1"/>
  <c r="C25" i="9"/>
  <c r="C25" i="11" s="1"/>
  <c r="B22" i="9"/>
  <c r="C37" i="9" l="1"/>
  <c r="C37" i="11" s="1"/>
  <c r="B26" i="9"/>
  <c r="B26" i="11" s="1"/>
  <c r="K12" i="11"/>
  <c r="A2" i="11"/>
  <c r="H37" i="11" s="1"/>
  <c r="A3" i="11"/>
  <c r="A4" i="11"/>
  <c r="H39" i="11" s="1"/>
  <c r="A5" i="11"/>
  <c r="H40" i="11" s="1"/>
  <c r="A6" i="11"/>
  <c r="H41" i="11" s="1"/>
  <c r="H36" i="11"/>
  <c r="A14" i="9"/>
  <c r="A15" i="9"/>
  <c r="A16" i="9"/>
  <c r="A17" i="9"/>
  <c r="A18" i="9"/>
  <c r="A19" i="9"/>
  <c r="A20" i="9"/>
  <c r="A13" i="9"/>
  <c r="B11" i="9"/>
  <c r="B12" i="10" s="1"/>
  <c r="H27" i="11" l="1"/>
  <c r="H38" i="11"/>
  <c r="B38" i="9"/>
  <c r="B38" i="11" s="1"/>
  <c r="H25" i="11"/>
  <c r="H29" i="11"/>
  <c r="H18" i="11"/>
  <c r="H16" i="11"/>
  <c r="H30" i="11"/>
  <c r="H19" i="11"/>
  <c r="H28" i="11"/>
  <c r="H17" i="11"/>
  <c r="H26" i="11"/>
  <c r="H15" i="11"/>
  <c r="C26" i="9"/>
  <c r="C26" i="11" s="1"/>
  <c r="B30" i="6"/>
  <c r="B31" i="6"/>
  <c r="B32" i="6"/>
  <c r="B29" i="6"/>
  <c r="B14" i="9"/>
  <c r="B14" i="11" s="1"/>
  <c r="B13" i="10" l="1"/>
  <c r="C12" i="10"/>
  <c r="D12" i="10" s="1"/>
  <c r="C38" i="9"/>
  <c r="C38" i="11" s="1"/>
  <c r="B27" i="9"/>
  <c r="B27" i="11" s="1"/>
  <c r="C14" i="9"/>
  <c r="C14" i="11" s="1"/>
  <c r="D13" i="10" l="1"/>
  <c r="C13" i="10"/>
  <c r="B39" i="9"/>
  <c r="B39" i="11" s="1"/>
  <c r="C27" i="9"/>
  <c r="C27" i="11" s="1"/>
  <c r="E12" i="10"/>
  <c r="B15" i="9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B33" i="1"/>
  <c r="B27" i="1"/>
  <c r="B31" i="1" s="1"/>
  <c r="C27" i="1"/>
  <c r="C31" i="1" s="1"/>
  <c r="D27" i="1"/>
  <c r="D32" i="1" s="1"/>
  <c r="E27" i="1"/>
  <c r="E31" i="1" s="1"/>
  <c r="F27" i="1"/>
  <c r="F32" i="1" s="1"/>
  <c r="G27" i="1"/>
  <c r="G31" i="1" s="1"/>
  <c r="H27" i="1"/>
  <c r="H32" i="1" s="1"/>
  <c r="I27" i="1"/>
  <c r="I31" i="1" s="1"/>
  <c r="J27" i="1"/>
  <c r="J32" i="1" s="1"/>
  <c r="K27" i="1"/>
  <c r="K31" i="1" s="1"/>
  <c r="L27" i="1"/>
  <c r="L32" i="1" s="1"/>
  <c r="M27" i="1"/>
  <c r="M31" i="1" s="1"/>
  <c r="N27" i="1"/>
  <c r="N32" i="1" s="1"/>
  <c r="O27" i="1"/>
  <c r="O31" i="1" s="1"/>
  <c r="P27" i="1"/>
  <c r="P32" i="1" s="1"/>
  <c r="Q27" i="1"/>
  <c r="Q31" i="1" s="1"/>
  <c r="R27" i="1"/>
  <c r="R32" i="1" s="1"/>
  <c r="S27" i="1"/>
  <c r="S31" i="1" s="1"/>
  <c r="T27" i="1"/>
  <c r="T32" i="1" s="1"/>
  <c r="U27" i="1"/>
  <c r="U31" i="1" s="1"/>
  <c r="V27" i="1"/>
  <c r="V32" i="1" s="1"/>
  <c r="W27" i="1"/>
  <c r="W31" i="1" s="1"/>
  <c r="X27" i="1"/>
  <c r="X32" i="1" s="1"/>
  <c r="Y27" i="1"/>
  <c r="Y31" i="1" s="1"/>
  <c r="Z27" i="1"/>
  <c r="Z32" i="1" s="1"/>
  <c r="AA27" i="1"/>
  <c r="AA31" i="1" s="1"/>
  <c r="AB27" i="1"/>
  <c r="AB32" i="1" s="1"/>
  <c r="AC27" i="1"/>
  <c r="AC31" i="1" s="1"/>
  <c r="AD27" i="1"/>
  <c r="AD32" i="1" s="1"/>
  <c r="AE27" i="1"/>
  <c r="AE31" i="1" s="1"/>
  <c r="AF27" i="1"/>
  <c r="AF32" i="1" s="1"/>
  <c r="AS16" i="1"/>
  <c r="E14" i="1" s="1"/>
  <c r="L18" i="3"/>
  <c r="A11" i="3"/>
  <c r="A12" i="3" s="1"/>
  <c r="B11" i="3"/>
  <c r="C11" i="3"/>
  <c r="C12" i="3" s="1"/>
  <c r="B12" i="3"/>
  <c r="D11" i="3"/>
  <c r="D12" i="3" s="1"/>
  <c r="E11" i="3"/>
  <c r="E12" i="3" s="1"/>
  <c r="F11" i="3"/>
  <c r="F12" i="3" s="1"/>
  <c r="G11" i="3"/>
  <c r="G12" i="3" s="1"/>
  <c r="H11" i="3"/>
  <c r="H12" i="3" s="1"/>
  <c r="I11" i="3"/>
  <c r="I12" i="3" s="1"/>
  <c r="J11" i="3"/>
  <c r="J12" i="3" s="1"/>
  <c r="K11" i="3"/>
  <c r="K12" i="3" s="1"/>
  <c r="L11" i="3"/>
  <c r="L12" i="3" s="1"/>
  <c r="M11" i="3"/>
  <c r="M12" i="3" s="1"/>
  <c r="N11" i="3"/>
  <c r="N12" i="3" s="1"/>
  <c r="O11" i="3"/>
  <c r="O12" i="3" s="1"/>
  <c r="P11" i="3"/>
  <c r="P12" i="3" s="1"/>
  <c r="Q11" i="3"/>
  <c r="Q12" i="3" s="1"/>
  <c r="R11" i="3"/>
  <c r="R12" i="3" s="1"/>
  <c r="S11" i="3"/>
  <c r="S12" i="3" s="1"/>
  <c r="T11" i="3"/>
  <c r="T12" i="3" s="1"/>
  <c r="U11" i="3"/>
  <c r="U12" i="3" s="1"/>
  <c r="V11" i="3"/>
  <c r="V12" i="3" s="1"/>
  <c r="W11" i="3"/>
  <c r="W12" i="3" s="1"/>
  <c r="X11" i="3"/>
  <c r="X12" i="3" s="1"/>
  <c r="Y11" i="3"/>
  <c r="Y12" i="3" s="1"/>
  <c r="Z11" i="3"/>
  <c r="Z12" i="3" s="1"/>
  <c r="AA11" i="3"/>
  <c r="AA12" i="3" s="1"/>
  <c r="AB11" i="3"/>
  <c r="AB12" i="3" s="1"/>
  <c r="AC11" i="3"/>
  <c r="AC12" i="3" s="1"/>
  <c r="AD11" i="3"/>
  <c r="AD12" i="3" s="1"/>
  <c r="AE11" i="3"/>
  <c r="AE12" i="3" s="1"/>
  <c r="AF11" i="3"/>
  <c r="AF12" i="3" s="1"/>
  <c r="AG11" i="3"/>
  <c r="AG12" i="3" s="1"/>
  <c r="AH11" i="3"/>
  <c r="AH12" i="3" s="1"/>
  <c r="AI11" i="3"/>
  <c r="AI12" i="3" s="1"/>
  <c r="AJ11" i="3"/>
  <c r="AJ12" i="3" s="1"/>
  <c r="AK11" i="3"/>
  <c r="AK12" i="3" s="1"/>
  <c r="AL11" i="3"/>
  <c r="AL12" i="3" s="1"/>
  <c r="AM11" i="3"/>
  <c r="AM12" i="3" s="1"/>
  <c r="AN11" i="3"/>
  <c r="AN12" i="3" s="1"/>
  <c r="AO11" i="3"/>
  <c r="AO12" i="3" s="1"/>
  <c r="AP11" i="3"/>
  <c r="AP12" i="3" s="1"/>
  <c r="AQ11" i="3"/>
  <c r="AQ12" i="3" s="1"/>
  <c r="AR11" i="3"/>
  <c r="AR12" i="3" s="1"/>
  <c r="AS11" i="3"/>
  <c r="AS12" i="3" s="1"/>
  <c r="AT11" i="3"/>
  <c r="AT12" i="3" s="1"/>
  <c r="AU11" i="3"/>
  <c r="AU12" i="3" s="1"/>
  <c r="AV11" i="3"/>
  <c r="AV12" i="3" s="1"/>
  <c r="AW11" i="3"/>
  <c r="AW12" i="3" s="1"/>
  <c r="AX11" i="3"/>
  <c r="AX12" i="3" s="1"/>
  <c r="AY11" i="3"/>
  <c r="AY12" i="3" s="1"/>
  <c r="AZ11" i="3"/>
  <c r="AZ12" i="3" s="1"/>
  <c r="BA11" i="3"/>
  <c r="BA12" i="3" s="1"/>
  <c r="BB11" i="3"/>
  <c r="BB12" i="3" s="1"/>
  <c r="BC11" i="3"/>
  <c r="BC12" i="3" s="1"/>
  <c r="BD11" i="3"/>
  <c r="BD12" i="3" s="1"/>
  <c r="BE11" i="3"/>
  <c r="BE12" i="3" s="1"/>
  <c r="BF11" i="3"/>
  <c r="BF12" i="3" s="1"/>
  <c r="BG11" i="3"/>
  <c r="BG12" i="3" s="1"/>
  <c r="BH11" i="3"/>
  <c r="BH12" i="3" s="1"/>
  <c r="BI11" i="3"/>
  <c r="BI12" i="3" s="1"/>
  <c r="BJ11" i="3"/>
  <c r="BJ12" i="3" s="1"/>
  <c r="BK11" i="3"/>
  <c r="BK12" i="3" s="1"/>
  <c r="BL11" i="3"/>
  <c r="BL12" i="3" s="1"/>
  <c r="BM11" i="3"/>
  <c r="BM12" i="3" s="1"/>
  <c r="BN11" i="3"/>
  <c r="BN12" i="3" s="1"/>
  <c r="BO11" i="3"/>
  <c r="BO12" i="3" s="1"/>
  <c r="BP11" i="3"/>
  <c r="BP12" i="3" s="1"/>
  <c r="BQ11" i="3"/>
  <c r="BQ12" i="3" s="1"/>
  <c r="BR11" i="3"/>
  <c r="BR12" i="3" s="1"/>
  <c r="BS11" i="3"/>
  <c r="BS12" i="3" s="1"/>
  <c r="BT11" i="3"/>
  <c r="BT12" i="3" s="1"/>
  <c r="BU11" i="3"/>
  <c r="BU12" i="3" s="1"/>
  <c r="BV11" i="3"/>
  <c r="BV12" i="3" s="1"/>
  <c r="BW11" i="3"/>
  <c r="BW12" i="3" s="1"/>
  <c r="BX11" i="3"/>
  <c r="BX12" i="3" s="1"/>
  <c r="BY11" i="3"/>
  <c r="BY12" i="3" s="1"/>
  <c r="BZ11" i="3"/>
  <c r="BZ12" i="3" s="1"/>
  <c r="CA11" i="3"/>
  <c r="CA12" i="3" s="1"/>
  <c r="CB11" i="3"/>
  <c r="CB12" i="3" s="1"/>
  <c r="CC11" i="3"/>
  <c r="CC12" i="3" s="1"/>
  <c r="CD11" i="3"/>
  <c r="CD12" i="3" s="1"/>
  <c r="CE11" i="3"/>
  <c r="CE12" i="3" s="1"/>
  <c r="CF11" i="3"/>
  <c r="CF12" i="3" s="1"/>
  <c r="CG11" i="3"/>
  <c r="CG12" i="3" s="1"/>
  <c r="CH11" i="3"/>
  <c r="CH12" i="3" s="1"/>
  <c r="CI11" i="3"/>
  <c r="CI12" i="3" s="1"/>
  <c r="CJ11" i="3"/>
  <c r="CJ12" i="3" s="1"/>
  <c r="CK11" i="3"/>
  <c r="CK12" i="3" s="1"/>
  <c r="CL11" i="3"/>
  <c r="CL12" i="3" s="1"/>
  <c r="CM11" i="3"/>
  <c r="CM12" i="3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O8" i="1"/>
  <c r="AN8" i="1"/>
  <c r="AN9" i="1" s="1"/>
  <c r="AM8" i="1"/>
  <c r="AM9" i="1" s="1"/>
  <c r="AL8" i="1"/>
  <c r="AL9" i="1" s="1"/>
  <c r="AK8" i="1"/>
  <c r="AK9" i="1" s="1"/>
  <c r="AJ9" i="1"/>
  <c r="AO9" i="1"/>
  <c r="AI9" i="1"/>
  <c r="AJ7" i="1"/>
  <c r="AK7" i="1"/>
  <c r="AL7" i="1"/>
  <c r="AM7" i="1"/>
  <c r="AN7" i="1"/>
  <c r="AO7" i="1"/>
  <c r="AP7" i="1"/>
  <c r="AI7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C2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B5" i="1"/>
  <c r="AC6" i="1" l="1"/>
  <c r="Y6" i="1"/>
  <c r="U6" i="1"/>
  <c r="Q6" i="1"/>
  <c r="M6" i="1"/>
  <c r="I6" i="1"/>
  <c r="E6" i="1"/>
  <c r="E13" i="10"/>
  <c r="AD31" i="1"/>
  <c r="Z31" i="1"/>
  <c r="V31" i="1"/>
  <c r="R31" i="1"/>
  <c r="N31" i="1"/>
  <c r="J31" i="1"/>
  <c r="F31" i="1"/>
  <c r="B32" i="1"/>
  <c r="AA32" i="1"/>
  <c r="S32" i="1"/>
  <c r="K32" i="1"/>
  <c r="C32" i="1"/>
  <c r="AF31" i="1"/>
  <c r="AB31" i="1"/>
  <c r="X31" i="1"/>
  <c r="T31" i="1"/>
  <c r="P31" i="1"/>
  <c r="L31" i="1"/>
  <c r="H31" i="1"/>
  <c r="D31" i="1"/>
  <c r="AE32" i="1"/>
  <c r="W32" i="1"/>
  <c r="O32" i="1"/>
  <c r="G32" i="1"/>
  <c r="C39" i="9"/>
  <c r="C39" i="11" s="1"/>
  <c r="B28" i="9"/>
  <c r="B28" i="11" s="1"/>
  <c r="C15" i="9"/>
  <c r="C15" i="11" s="1"/>
  <c r="B15" i="11"/>
  <c r="F12" i="10"/>
  <c r="F13" i="10" l="1"/>
  <c r="B40" i="9"/>
  <c r="B40" i="11" s="1"/>
  <c r="C28" i="9"/>
  <c r="C28" i="11" s="1"/>
  <c r="G12" i="10"/>
  <c r="B16" i="9"/>
  <c r="B16" i="11" s="1"/>
  <c r="AE6" i="1"/>
  <c r="AA6" i="1"/>
  <c r="W6" i="1"/>
  <c r="S6" i="1"/>
  <c r="O6" i="1"/>
  <c r="K6" i="1"/>
  <c r="G6" i="1"/>
  <c r="AD14" i="1"/>
  <c r="V14" i="1"/>
  <c r="N14" i="1"/>
  <c r="B14" i="1"/>
  <c r="AF14" i="1"/>
  <c r="AB14" i="1"/>
  <c r="X14" i="1"/>
  <c r="T14" i="1"/>
  <c r="P14" i="1"/>
  <c r="L14" i="1"/>
  <c r="H14" i="1"/>
  <c r="D14" i="1"/>
  <c r="AC32" i="1"/>
  <c r="Y32" i="1"/>
  <c r="U32" i="1"/>
  <c r="Q32" i="1"/>
  <c r="M32" i="1"/>
  <c r="I32" i="1"/>
  <c r="E32" i="1"/>
  <c r="AE14" i="1"/>
  <c r="AA14" i="1"/>
  <c r="W14" i="1"/>
  <c r="S14" i="1"/>
  <c r="O14" i="1"/>
  <c r="K14" i="1"/>
  <c r="K15" i="1" s="1"/>
  <c r="G14" i="1"/>
  <c r="C14" i="1"/>
  <c r="C26" i="1" s="1"/>
  <c r="Z14" i="1"/>
  <c r="R14" i="1"/>
  <c r="J14" i="1"/>
  <c r="F14" i="1"/>
  <c r="AC14" i="1"/>
  <c r="Y14" i="1"/>
  <c r="U14" i="1"/>
  <c r="Q14" i="1"/>
  <c r="M14" i="1"/>
  <c r="I14" i="1"/>
  <c r="AF6" i="1"/>
  <c r="AF7" i="1" s="1"/>
  <c r="AD6" i="1"/>
  <c r="AB6" i="1"/>
  <c r="Z6" i="1"/>
  <c r="Y7" i="1" s="1"/>
  <c r="X6" i="1"/>
  <c r="X7" i="1" s="1"/>
  <c r="V6" i="1"/>
  <c r="T6" i="1"/>
  <c r="R6" i="1"/>
  <c r="Q7" i="1" s="1"/>
  <c r="P6" i="1"/>
  <c r="N6" i="1"/>
  <c r="L6" i="1"/>
  <c r="J6" i="1"/>
  <c r="I7" i="1" s="1"/>
  <c r="H6" i="1"/>
  <c r="F6" i="1"/>
  <c r="D6" i="1"/>
  <c r="C6" i="1"/>
  <c r="C15" i="1"/>
  <c r="AE7" i="1"/>
  <c r="AB7" i="1"/>
  <c r="Z7" i="1"/>
  <c r="T7" i="1"/>
  <c r="R7" i="1"/>
  <c r="P7" i="1"/>
  <c r="L7" i="1"/>
  <c r="J7" i="1"/>
  <c r="H7" i="1"/>
  <c r="D7" i="1"/>
  <c r="AA7" i="1"/>
  <c r="U7" i="1"/>
  <c r="S7" i="1"/>
  <c r="K7" i="1"/>
  <c r="E7" i="1"/>
  <c r="C7" i="1"/>
  <c r="K26" i="1" l="1"/>
  <c r="G13" i="10"/>
  <c r="F7" i="1"/>
  <c r="V7" i="1"/>
  <c r="N7" i="1"/>
  <c r="AD7" i="1"/>
  <c r="C40" i="9"/>
  <c r="C40" i="11" s="1"/>
  <c r="B29" i="9"/>
  <c r="B29" i="11" s="1"/>
  <c r="B36" i="6"/>
  <c r="B33" i="6"/>
  <c r="B34" i="6"/>
  <c r="B35" i="6"/>
  <c r="H12" i="10"/>
  <c r="C16" i="9"/>
  <c r="C16" i="11" s="1"/>
  <c r="C29" i="6"/>
  <c r="C33" i="6" s="1"/>
  <c r="C30" i="6"/>
  <c r="C34" i="6" s="1"/>
  <c r="C31" i="6"/>
  <c r="C35" i="6" s="1"/>
  <c r="C32" i="6"/>
  <c r="C36" i="6" s="1"/>
  <c r="D26" i="1"/>
  <c r="D15" i="1"/>
  <c r="D16" i="1" s="1"/>
  <c r="B26" i="1"/>
  <c r="B15" i="1"/>
  <c r="B16" i="1" s="1"/>
  <c r="M7" i="1"/>
  <c r="AC7" i="1"/>
  <c r="G7" i="1"/>
  <c r="W7" i="1"/>
  <c r="H26" i="1"/>
  <c r="H15" i="1"/>
  <c r="H16" i="1" s="1"/>
  <c r="O7" i="1"/>
  <c r="K16" i="1"/>
  <c r="K29" i="1" s="1"/>
  <c r="C16" i="1"/>
  <c r="C29" i="1" s="1"/>
  <c r="F26" i="1"/>
  <c r="F15" i="1"/>
  <c r="J26" i="1"/>
  <c r="J15" i="1"/>
  <c r="G15" i="1"/>
  <c r="G26" i="1"/>
  <c r="E15" i="1"/>
  <c r="E26" i="1"/>
  <c r="I15" i="1"/>
  <c r="I26" i="1"/>
  <c r="L15" i="1"/>
  <c r="L26" i="1"/>
  <c r="H13" i="10" l="1"/>
  <c r="B41" i="9"/>
  <c r="B41" i="11" s="1"/>
  <c r="C29" i="9"/>
  <c r="C29" i="11" s="1"/>
  <c r="B17" i="9"/>
  <c r="D29" i="6"/>
  <c r="D33" i="6" s="1"/>
  <c r="D30" i="6"/>
  <c r="D34" i="6" s="1"/>
  <c r="D31" i="6"/>
  <c r="D35" i="6" s="1"/>
  <c r="D32" i="6"/>
  <c r="D36" i="6" s="1"/>
  <c r="C28" i="1"/>
  <c r="C30" i="1" s="1"/>
  <c r="D28" i="1"/>
  <c r="D29" i="1"/>
  <c r="K28" i="1"/>
  <c r="K30" i="1" s="1"/>
  <c r="H28" i="1"/>
  <c r="H29" i="1"/>
  <c r="B28" i="1"/>
  <c r="B29" i="1"/>
  <c r="J16" i="1"/>
  <c r="J29" i="1" s="1"/>
  <c r="F16" i="1"/>
  <c r="F29" i="1" s="1"/>
  <c r="L16" i="1"/>
  <c r="L29" i="1" s="1"/>
  <c r="I16" i="1"/>
  <c r="I29" i="1" s="1"/>
  <c r="E16" i="1"/>
  <c r="E29" i="1" s="1"/>
  <c r="G16" i="1"/>
  <c r="G29" i="1" s="1"/>
  <c r="L28" i="1"/>
  <c r="L30" i="1" s="1"/>
  <c r="I28" i="1"/>
  <c r="M26" i="1"/>
  <c r="M15" i="1"/>
  <c r="I30" i="1" l="1"/>
  <c r="D30" i="1"/>
  <c r="C41" i="9"/>
  <c r="C41" i="11" s="1"/>
  <c r="B30" i="9"/>
  <c r="B30" i="11" s="1"/>
  <c r="C17" i="9"/>
  <c r="C17" i="11" s="1"/>
  <c r="B17" i="11"/>
  <c r="E29" i="6"/>
  <c r="E33" i="6" s="1"/>
  <c r="E30" i="6"/>
  <c r="E34" i="6" s="1"/>
  <c r="E31" i="6"/>
  <c r="E35" i="6" s="1"/>
  <c r="E32" i="6"/>
  <c r="E36" i="6" s="1"/>
  <c r="J28" i="1"/>
  <c r="J30" i="1" s="1"/>
  <c r="H30" i="1"/>
  <c r="G28" i="1"/>
  <c r="G30" i="1" s="1"/>
  <c r="F28" i="1"/>
  <c r="F30" i="1" s="1"/>
  <c r="B30" i="1"/>
  <c r="E28" i="1"/>
  <c r="E30" i="1" s="1"/>
  <c r="M16" i="1"/>
  <c r="M29" i="1" s="1"/>
  <c r="N15" i="1"/>
  <c r="N26" i="1"/>
  <c r="B42" i="9" l="1"/>
  <c r="B42" i="11" s="1"/>
  <c r="B18" i="9"/>
  <c r="B18" i="11" s="1"/>
  <c r="C30" i="9"/>
  <c r="C30" i="11" s="1"/>
  <c r="F30" i="6"/>
  <c r="F34" i="6" s="1"/>
  <c r="F29" i="6"/>
  <c r="F31" i="6"/>
  <c r="F35" i="6" s="1"/>
  <c r="F32" i="6"/>
  <c r="F36" i="6" s="1"/>
  <c r="M28" i="1"/>
  <c r="M30" i="1" s="1"/>
  <c r="N16" i="1"/>
  <c r="N29" i="1" s="1"/>
  <c r="O26" i="1"/>
  <c r="O15" i="1"/>
  <c r="N28" i="1" l="1"/>
  <c r="N30" i="1" s="1"/>
  <c r="C42" i="9"/>
  <c r="C42" i="11" s="1"/>
  <c r="C18" i="9"/>
  <c r="C18" i="11" s="1"/>
  <c r="B31" i="9"/>
  <c r="F33" i="6"/>
  <c r="G32" i="6"/>
  <c r="G36" i="6" s="1"/>
  <c r="G30" i="6"/>
  <c r="G34" i="6" s="1"/>
  <c r="G31" i="6"/>
  <c r="G35" i="6" s="1"/>
  <c r="G29" i="6"/>
  <c r="G33" i="6" s="1"/>
  <c r="O16" i="1"/>
  <c r="O29" i="1" s="1"/>
  <c r="P15" i="1"/>
  <c r="P26" i="1"/>
  <c r="B19" i="9" l="1"/>
  <c r="B19" i="11" s="1"/>
  <c r="C31" i="9"/>
  <c r="B31" i="11"/>
  <c r="H29" i="6"/>
  <c r="H33" i="6" s="1"/>
  <c r="H30" i="6"/>
  <c r="H34" i="6" s="1"/>
  <c r="H32" i="6"/>
  <c r="H36" i="6" s="1"/>
  <c r="H31" i="6"/>
  <c r="H35" i="6" s="1"/>
  <c r="O28" i="1"/>
  <c r="O30" i="1" s="1"/>
  <c r="P16" i="1"/>
  <c r="P29" i="1" s="1"/>
  <c r="Q26" i="1"/>
  <c r="Q15" i="1"/>
  <c r="P28" i="1" l="1"/>
  <c r="P30" i="1" s="1"/>
  <c r="C19" i="9"/>
  <c r="C19" i="11" s="1"/>
  <c r="C31" i="11"/>
  <c r="I32" i="6"/>
  <c r="I36" i="6" s="1"/>
  <c r="I30" i="6"/>
  <c r="I34" i="6" s="1"/>
  <c r="I31" i="6"/>
  <c r="I35" i="6" s="1"/>
  <c r="I29" i="6"/>
  <c r="I33" i="6" s="1"/>
  <c r="Q16" i="1"/>
  <c r="Q29" i="1" s="1"/>
  <c r="R15" i="1"/>
  <c r="R26" i="1"/>
  <c r="B20" i="9" l="1"/>
  <c r="B20" i="11" s="1"/>
  <c r="J31" i="6"/>
  <c r="J35" i="6" s="1"/>
  <c r="J30" i="6"/>
  <c r="J34" i="6" s="1"/>
  <c r="J29" i="6"/>
  <c r="J33" i="6" s="1"/>
  <c r="J32" i="6"/>
  <c r="J36" i="6" s="1"/>
  <c r="Q28" i="1"/>
  <c r="Q30" i="1" s="1"/>
  <c r="R16" i="1"/>
  <c r="R29" i="1" s="1"/>
  <c r="S26" i="1"/>
  <c r="S15" i="1"/>
  <c r="R28" i="1" l="1"/>
  <c r="R30" i="1" s="1"/>
  <c r="C20" i="9"/>
  <c r="C20" i="11" s="1"/>
  <c r="K29" i="6"/>
  <c r="K33" i="6" s="1"/>
  <c r="K30" i="6"/>
  <c r="K34" i="6" s="1"/>
  <c r="K31" i="6"/>
  <c r="K35" i="6" s="1"/>
  <c r="K32" i="6"/>
  <c r="K36" i="6" s="1"/>
  <c r="S16" i="1"/>
  <c r="S29" i="1" s="1"/>
  <c r="T15" i="1"/>
  <c r="T26" i="1"/>
  <c r="L32" i="6" l="1"/>
  <c r="L36" i="6" s="1"/>
  <c r="L30" i="6"/>
  <c r="L34" i="6" s="1"/>
  <c r="L31" i="6"/>
  <c r="L35" i="6" s="1"/>
  <c r="L29" i="6"/>
  <c r="L33" i="6" s="1"/>
  <c r="S28" i="1"/>
  <c r="S30" i="1" s="1"/>
  <c r="T16" i="1"/>
  <c r="T29" i="1" s="1"/>
  <c r="U26" i="1"/>
  <c r="U15" i="1"/>
  <c r="T28" i="1" l="1"/>
  <c r="T30" i="1" s="1"/>
  <c r="M30" i="6"/>
  <c r="M34" i="6" s="1"/>
  <c r="M29" i="6"/>
  <c r="M33" i="6" s="1"/>
  <c r="M32" i="6"/>
  <c r="M36" i="6" s="1"/>
  <c r="M31" i="6"/>
  <c r="M35" i="6" s="1"/>
  <c r="U16" i="1"/>
  <c r="U29" i="1" s="1"/>
  <c r="V15" i="1"/>
  <c r="V26" i="1"/>
  <c r="U28" i="1" l="1"/>
  <c r="U30" i="1" s="1"/>
  <c r="N31" i="6"/>
  <c r="N35" i="6" s="1"/>
  <c r="N32" i="6"/>
  <c r="N36" i="6" s="1"/>
  <c r="N30" i="6"/>
  <c r="N34" i="6" s="1"/>
  <c r="N29" i="6"/>
  <c r="N33" i="6" s="1"/>
  <c r="V16" i="1"/>
  <c r="V29" i="1" s="1"/>
  <c r="W26" i="1"/>
  <c r="W15" i="1"/>
  <c r="O29" i="6" l="1"/>
  <c r="O33" i="6" s="1"/>
  <c r="O30" i="6"/>
  <c r="O34" i="6" s="1"/>
  <c r="O32" i="6"/>
  <c r="O36" i="6" s="1"/>
  <c r="O31" i="6"/>
  <c r="O35" i="6" s="1"/>
  <c r="V28" i="1"/>
  <c r="V30" i="1" s="1"/>
  <c r="P30" i="6"/>
  <c r="P34" i="6" s="1"/>
  <c r="W16" i="1"/>
  <c r="W29" i="1" s="1"/>
  <c r="X15" i="1"/>
  <c r="X26" i="1"/>
  <c r="W28" i="1" l="1"/>
  <c r="W30" i="1" s="1"/>
  <c r="P29" i="6"/>
  <c r="P33" i="6" s="1"/>
  <c r="P32" i="6"/>
  <c r="P36" i="6" s="1"/>
  <c r="P31" i="6"/>
  <c r="P35" i="6" s="1"/>
  <c r="X16" i="1"/>
  <c r="X29" i="1" s="1"/>
  <c r="Y26" i="1"/>
  <c r="Y15" i="1"/>
  <c r="Q29" i="6" l="1"/>
  <c r="Q33" i="6" s="1"/>
  <c r="Q31" i="6"/>
  <c r="Q35" i="6" s="1"/>
  <c r="Q32" i="6"/>
  <c r="Q36" i="6" s="1"/>
  <c r="Q30" i="6"/>
  <c r="Q34" i="6" s="1"/>
  <c r="X28" i="1"/>
  <c r="X30" i="1" s="1"/>
  <c r="R31" i="6"/>
  <c r="R35" i="6" s="1"/>
  <c r="Y16" i="1"/>
  <c r="Y29" i="1" s="1"/>
  <c r="Z15" i="1"/>
  <c r="Z26" i="1"/>
  <c r="Y28" i="1" l="1"/>
  <c r="Y30" i="1" s="1"/>
  <c r="R30" i="6"/>
  <c r="R34" i="6" s="1"/>
  <c r="R29" i="6"/>
  <c r="R33" i="6" s="1"/>
  <c r="R32" i="6"/>
  <c r="R36" i="6" s="1"/>
  <c r="Z16" i="1"/>
  <c r="Z29" i="1" s="1"/>
  <c r="AA26" i="1"/>
  <c r="AA15" i="1"/>
  <c r="Z28" i="1" l="1"/>
  <c r="Z30" i="1" s="1"/>
  <c r="S29" i="6"/>
  <c r="S30" i="6"/>
  <c r="S32" i="6"/>
  <c r="S31" i="6"/>
  <c r="AA16" i="1"/>
  <c r="AA28" i="1" s="1"/>
  <c r="AB15" i="1"/>
  <c r="AB26" i="1"/>
  <c r="B16" i="10"/>
  <c r="B17" i="10"/>
  <c r="B14" i="10"/>
  <c r="B15" i="10"/>
  <c r="S34" i="6" l="1"/>
  <c r="S33" i="6"/>
  <c r="S36" i="6"/>
  <c r="S35" i="6"/>
  <c r="T29" i="6"/>
  <c r="T32" i="6"/>
  <c r="T30" i="6"/>
  <c r="T31" i="6"/>
  <c r="AA29" i="1"/>
  <c r="AA30" i="1" s="1"/>
  <c r="AB16" i="1"/>
  <c r="AB28" i="1" s="1"/>
  <c r="AC26" i="1"/>
  <c r="AC15" i="1"/>
  <c r="B19" i="10"/>
  <c r="C14" i="10"/>
  <c r="C16" i="10"/>
  <c r="B18" i="10"/>
  <c r="C17" i="10"/>
  <c r="B21" i="10"/>
  <c r="C15" i="10"/>
  <c r="B20" i="10"/>
  <c r="T34" i="6" l="1"/>
  <c r="T36" i="6"/>
  <c r="T35" i="6"/>
  <c r="T33" i="6"/>
  <c r="AB29" i="1"/>
  <c r="AB30" i="1" s="1"/>
  <c r="U32" i="6"/>
  <c r="U30" i="6"/>
  <c r="U31" i="6"/>
  <c r="U29" i="6"/>
  <c r="AC16" i="1"/>
  <c r="AC29" i="1" s="1"/>
  <c r="AD15" i="1"/>
  <c r="AD26" i="1"/>
  <c r="C19" i="10"/>
  <c r="D14" i="10"/>
  <c r="D16" i="10"/>
  <c r="C21" i="10"/>
  <c r="D17" i="10"/>
  <c r="C20" i="10"/>
  <c r="D15" i="10"/>
  <c r="C18" i="10"/>
  <c r="U35" i="6" l="1"/>
  <c r="U36" i="6"/>
  <c r="V31" i="6"/>
  <c r="U34" i="6"/>
  <c r="U33" i="6"/>
  <c r="V30" i="6"/>
  <c r="V29" i="6"/>
  <c r="V32" i="6"/>
  <c r="AC28" i="1"/>
  <c r="AC30" i="1" s="1"/>
  <c r="AD16" i="1"/>
  <c r="AD29" i="1" s="1"/>
  <c r="AE26" i="1"/>
  <c r="AE15" i="1"/>
  <c r="D20" i="10"/>
  <c r="D18" i="10"/>
  <c r="E15" i="10"/>
  <c r="D21" i="10"/>
  <c r="E17" i="10"/>
  <c r="E16" i="10"/>
  <c r="E14" i="10"/>
  <c r="D19" i="10"/>
  <c r="V36" i="6" l="1"/>
  <c r="V34" i="6"/>
  <c r="V35" i="6"/>
  <c r="V33" i="6"/>
  <c r="W32" i="6"/>
  <c r="W30" i="6"/>
  <c r="W31" i="6"/>
  <c r="W29" i="6"/>
  <c r="AD28" i="1"/>
  <c r="AD30" i="1" s="1"/>
  <c r="AE16" i="1"/>
  <c r="AE29" i="1" s="1"/>
  <c r="AF15" i="1"/>
  <c r="AF26" i="1"/>
  <c r="E21" i="10"/>
  <c r="F17" i="10"/>
  <c r="F15" i="10"/>
  <c r="E19" i="10"/>
  <c r="F14" i="10"/>
  <c r="E20" i="10"/>
  <c r="F16" i="10"/>
  <c r="E18" i="10"/>
  <c r="D13" i="9" l="1"/>
  <c r="K14" i="9"/>
  <c r="K15" i="9"/>
  <c r="J14" i="9"/>
  <c r="J15" i="9"/>
  <c r="E14" i="9"/>
  <c r="E15" i="9"/>
  <c r="D14" i="9"/>
  <c r="D15" i="9"/>
  <c r="K18" i="9"/>
  <c r="J18" i="9"/>
  <c r="J19" i="9"/>
  <c r="E18" i="9"/>
  <c r="D18" i="9"/>
  <c r="K20" i="9"/>
  <c r="K13" i="9"/>
  <c r="J13" i="9"/>
  <c r="E13" i="9"/>
  <c r="D20" i="9"/>
  <c r="K16" i="9"/>
  <c r="K17" i="9"/>
  <c r="J16" i="9"/>
  <c r="J17" i="9"/>
  <c r="E16" i="9"/>
  <c r="E17" i="9"/>
  <c r="D16" i="9"/>
  <c r="D17" i="9"/>
  <c r="K19" i="9"/>
  <c r="E19" i="9"/>
  <c r="D19" i="9"/>
  <c r="J20" i="9"/>
  <c r="E20" i="9"/>
  <c r="W33" i="6"/>
  <c r="W34" i="6"/>
  <c r="X29" i="6"/>
  <c r="W35" i="6"/>
  <c r="W36" i="6"/>
  <c r="X31" i="6"/>
  <c r="X32" i="6"/>
  <c r="X30" i="6"/>
  <c r="AE28" i="1"/>
  <c r="AE30" i="1" s="1"/>
  <c r="AF16" i="1"/>
  <c r="AF29" i="1" s="1"/>
  <c r="F18" i="10"/>
  <c r="F21" i="10"/>
  <c r="G16" i="10"/>
  <c r="F19" i="10"/>
  <c r="G15" i="10"/>
  <c r="G14" i="10"/>
  <c r="G17" i="10"/>
  <c r="F20" i="10"/>
  <c r="N20" i="9" l="1"/>
  <c r="AF28" i="1"/>
  <c r="AF30" i="1" s="1"/>
  <c r="N13" i="9"/>
  <c r="N18" i="9"/>
  <c r="H13" i="9"/>
  <c r="H15" i="9"/>
  <c r="N15" i="9"/>
  <c r="H14" i="9"/>
  <c r="N14" i="9"/>
  <c r="N19" i="9"/>
  <c r="H17" i="9"/>
  <c r="N17" i="9"/>
  <c r="H20" i="9"/>
  <c r="H19" i="9"/>
  <c r="H16" i="9"/>
  <c r="N16" i="9"/>
  <c r="H18" i="9"/>
  <c r="M14" i="9"/>
  <c r="M15" i="9"/>
  <c r="M16" i="9"/>
  <c r="M17" i="9"/>
  <c r="G16" i="9"/>
  <c r="G17" i="9"/>
  <c r="G18" i="9"/>
  <c r="G19" i="9"/>
  <c r="M18" i="9"/>
  <c r="M19" i="9"/>
  <c r="M20" i="9"/>
  <c r="M13" i="9"/>
  <c r="G20" i="9"/>
  <c r="G14" i="9"/>
  <c r="G15" i="9"/>
  <c r="G13" i="9"/>
  <c r="L14" i="9"/>
  <c r="L15" i="9"/>
  <c r="L16" i="9"/>
  <c r="L17" i="9"/>
  <c r="F14" i="9"/>
  <c r="F15" i="9"/>
  <c r="F16" i="9"/>
  <c r="F17" i="9"/>
  <c r="L18" i="9"/>
  <c r="L19" i="9"/>
  <c r="L20" i="9"/>
  <c r="L13" i="9"/>
  <c r="F18" i="9"/>
  <c r="F19" i="9"/>
  <c r="F20" i="9"/>
  <c r="F13" i="9"/>
  <c r="Y30" i="6"/>
  <c r="X36" i="6"/>
  <c r="X34" i="6"/>
  <c r="X35" i="6"/>
  <c r="X33" i="6"/>
  <c r="Y32" i="6"/>
  <c r="Y31" i="6"/>
  <c r="Y29" i="6"/>
  <c r="H16" i="10"/>
  <c r="H17" i="10"/>
  <c r="G21" i="10"/>
  <c r="G19" i="10"/>
  <c r="H15" i="10"/>
  <c r="G18" i="10"/>
  <c r="H14" i="10"/>
  <c r="G20" i="10"/>
  <c r="O20" i="9" l="1"/>
  <c r="I13" i="9"/>
  <c r="D13" i="11" s="1"/>
  <c r="O15" i="9"/>
  <c r="O16" i="9"/>
  <c r="O13" i="9"/>
  <c r="E13" i="11" s="1"/>
  <c r="O18" i="9"/>
  <c r="O14" i="9"/>
  <c r="O19" i="9"/>
  <c r="O17" i="9"/>
  <c r="K29" i="9"/>
  <c r="K30" i="9"/>
  <c r="J29" i="9"/>
  <c r="J30" i="9"/>
  <c r="E29" i="9"/>
  <c r="E30" i="9"/>
  <c r="D29" i="9"/>
  <c r="D30" i="9"/>
  <c r="K25" i="9"/>
  <c r="J25" i="9"/>
  <c r="E26" i="9"/>
  <c r="J27" i="9"/>
  <c r="E28" i="9"/>
  <c r="K31" i="9"/>
  <c r="K24" i="9"/>
  <c r="J31" i="9"/>
  <c r="J24" i="9"/>
  <c r="E31" i="9"/>
  <c r="E24" i="9"/>
  <c r="D31" i="9"/>
  <c r="D24" i="9"/>
  <c r="K26" i="9"/>
  <c r="J26" i="9"/>
  <c r="E25" i="9"/>
  <c r="D25" i="9"/>
  <c r="D26" i="9"/>
  <c r="K27" i="9"/>
  <c r="K28" i="9"/>
  <c r="J28" i="9"/>
  <c r="E27" i="9"/>
  <c r="D27" i="9"/>
  <c r="D28" i="9"/>
  <c r="I18" i="9"/>
  <c r="I20" i="9"/>
  <c r="D20" i="11" s="1"/>
  <c r="I16" i="9"/>
  <c r="I17" i="9"/>
  <c r="I19" i="9"/>
  <c r="I15" i="9"/>
  <c r="I14" i="9"/>
  <c r="Y34" i="6"/>
  <c r="Y35" i="6"/>
  <c r="Y33" i="6"/>
  <c r="Y36" i="6"/>
  <c r="Z31" i="6"/>
  <c r="Z30" i="6"/>
  <c r="Z29" i="6"/>
  <c r="Z32" i="6"/>
  <c r="H20" i="10"/>
  <c r="H18" i="10"/>
  <c r="H19" i="10"/>
  <c r="H21" i="10"/>
  <c r="D19" i="11" l="1"/>
  <c r="J15" i="11" s="1"/>
  <c r="L15" i="11" s="1"/>
  <c r="D16" i="11"/>
  <c r="D18" i="11"/>
  <c r="D17" i="11"/>
  <c r="D14" i="11"/>
  <c r="J14" i="11" s="1"/>
  <c r="L14" i="11" s="1"/>
  <c r="E19" i="11"/>
  <c r="K15" i="11" s="1"/>
  <c r="M15" i="11" s="1"/>
  <c r="E18" i="11"/>
  <c r="E16" i="11"/>
  <c r="E17" i="11"/>
  <c r="E14" i="11"/>
  <c r="E15" i="11"/>
  <c r="E20" i="11"/>
  <c r="N25" i="9"/>
  <c r="N27" i="9"/>
  <c r="H28" i="9"/>
  <c r="H31" i="9"/>
  <c r="N31" i="9"/>
  <c r="H30" i="9"/>
  <c r="N30" i="9"/>
  <c r="H27" i="9"/>
  <c r="N26" i="9"/>
  <c r="H29" i="9"/>
  <c r="N29" i="9"/>
  <c r="H26" i="9"/>
  <c r="N28" i="9"/>
  <c r="H25" i="9"/>
  <c r="H24" i="9"/>
  <c r="N24" i="9"/>
  <c r="D15" i="11"/>
  <c r="M30" i="9"/>
  <c r="M31" i="9"/>
  <c r="G30" i="9"/>
  <c r="G31" i="9"/>
  <c r="M29" i="9"/>
  <c r="M25" i="9"/>
  <c r="L31" i="9"/>
  <c r="L30" i="9"/>
  <c r="G26" i="9"/>
  <c r="G27" i="9"/>
  <c r="G28" i="9"/>
  <c r="G24" i="9"/>
  <c r="F30" i="9"/>
  <c r="F31" i="9"/>
  <c r="M26" i="9"/>
  <c r="M27" i="9"/>
  <c r="M28" i="9"/>
  <c r="M24" i="9"/>
  <c r="G29" i="9"/>
  <c r="G25" i="9"/>
  <c r="L25" i="9"/>
  <c r="L29" i="9"/>
  <c r="L24" i="9"/>
  <c r="F29" i="9"/>
  <c r="F24" i="9"/>
  <c r="L27" i="9"/>
  <c r="L28" i="9"/>
  <c r="L26" i="9"/>
  <c r="F25" i="9"/>
  <c r="F26" i="9"/>
  <c r="F27" i="9"/>
  <c r="F28" i="9"/>
  <c r="Z36" i="6"/>
  <c r="Z34" i="6"/>
  <c r="Z33" i="6"/>
  <c r="Z35" i="6"/>
  <c r="AA29" i="6"/>
  <c r="AA30" i="6"/>
  <c r="AA31" i="6"/>
  <c r="AA32" i="6"/>
  <c r="K16" i="11" l="1"/>
  <c r="O15" i="11"/>
  <c r="K19" i="11"/>
  <c r="K18" i="11"/>
  <c r="K17" i="11"/>
  <c r="K14" i="11"/>
  <c r="J17" i="11"/>
  <c r="J18" i="11"/>
  <c r="J16" i="11"/>
  <c r="N15" i="11"/>
  <c r="J19" i="11"/>
  <c r="N14" i="11"/>
  <c r="K36" i="9"/>
  <c r="K37" i="9"/>
  <c r="J36" i="9"/>
  <c r="J37" i="9"/>
  <c r="E36" i="9"/>
  <c r="E37" i="9"/>
  <c r="D36" i="9"/>
  <c r="D37" i="9"/>
  <c r="J35" i="9"/>
  <c r="E35" i="9"/>
  <c r="K38" i="9"/>
  <c r="K39" i="9"/>
  <c r="J38" i="9"/>
  <c r="J39" i="9"/>
  <c r="E38" i="9"/>
  <c r="E39" i="9"/>
  <c r="D38" i="9"/>
  <c r="D39" i="9"/>
  <c r="K35" i="9"/>
  <c r="D42" i="9"/>
  <c r="K40" i="9"/>
  <c r="K41" i="9"/>
  <c r="J40" i="9"/>
  <c r="J41" i="9"/>
  <c r="E40" i="9"/>
  <c r="E41" i="9"/>
  <c r="D40" i="9"/>
  <c r="D41" i="9"/>
  <c r="K42" i="9"/>
  <c r="J42" i="9"/>
  <c r="E42" i="9"/>
  <c r="D35" i="9"/>
  <c r="I30" i="9"/>
  <c r="D30" i="11" s="1"/>
  <c r="J30" i="11" s="1"/>
  <c r="O28" i="9"/>
  <c r="E28" i="11" s="1"/>
  <c r="O27" i="9"/>
  <c r="E27" i="11" s="1"/>
  <c r="I31" i="9"/>
  <c r="D31" i="11" s="1"/>
  <c r="I27" i="9"/>
  <c r="D27" i="11" s="1"/>
  <c r="J25" i="11" s="1"/>
  <c r="I24" i="9"/>
  <c r="D24" i="11" s="1"/>
  <c r="I26" i="9"/>
  <c r="D26" i="11" s="1"/>
  <c r="J29" i="11" s="1"/>
  <c r="I28" i="9"/>
  <c r="D28" i="11" s="1"/>
  <c r="J27" i="11" s="1"/>
  <c r="O26" i="9"/>
  <c r="E26" i="11" s="1"/>
  <c r="K29" i="11" s="1"/>
  <c r="I29" i="9"/>
  <c r="D29" i="11" s="1"/>
  <c r="J28" i="11" s="1"/>
  <c r="O29" i="9"/>
  <c r="E29" i="11" s="1"/>
  <c r="K28" i="11" s="1"/>
  <c r="O24" i="9"/>
  <c r="E24" i="11" s="1"/>
  <c r="O30" i="9"/>
  <c r="E30" i="11" s="1"/>
  <c r="I25" i="9"/>
  <c r="D25" i="11" s="1"/>
  <c r="J26" i="11" s="1"/>
  <c r="O25" i="9"/>
  <c r="E25" i="11" s="1"/>
  <c r="O31" i="9"/>
  <c r="E31" i="11" s="1"/>
  <c r="AA35" i="6"/>
  <c r="AA33" i="6"/>
  <c r="AA36" i="6"/>
  <c r="AA34" i="6"/>
  <c r="AB32" i="6"/>
  <c r="AB30" i="6"/>
  <c r="AB29" i="6"/>
  <c r="AB31" i="6"/>
  <c r="O18" i="11" l="1"/>
  <c r="M18" i="11"/>
  <c r="O17" i="11"/>
  <c r="M17" i="11"/>
  <c r="O19" i="11"/>
  <c r="M19" i="11"/>
  <c r="O16" i="11"/>
  <c r="M16" i="11"/>
  <c r="O14" i="11"/>
  <c r="M14" i="11"/>
  <c r="N18" i="11"/>
  <c r="L18" i="11"/>
  <c r="N19" i="11"/>
  <c r="L19" i="11"/>
  <c r="N16" i="11"/>
  <c r="L16" i="11"/>
  <c r="N17" i="11"/>
  <c r="L17" i="11"/>
  <c r="O28" i="11"/>
  <c r="K26" i="11"/>
  <c r="O26" i="11" s="1"/>
  <c r="K27" i="11"/>
  <c r="M27" i="11" s="1"/>
  <c r="K30" i="11"/>
  <c r="O30" i="11" s="1"/>
  <c r="K25" i="11"/>
  <c r="O25" i="11" s="1"/>
  <c r="O29" i="11"/>
  <c r="M28" i="11"/>
  <c r="N28" i="11"/>
  <c r="N29" i="11"/>
  <c r="N27" i="11"/>
  <c r="N26" i="11"/>
  <c r="N30" i="11"/>
  <c r="N25" i="11"/>
  <c r="H40" i="9"/>
  <c r="N40" i="9"/>
  <c r="H36" i="9"/>
  <c r="N36" i="9"/>
  <c r="H35" i="9"/>
  <c r="H41" i="9"/>
  <c r="N41" i="9"/>
  <c r="H42" i="9"/>
  <c r="H37" i="9"/>
  <c r="N37" i="9"/>
  <c r="N42" i="9"/>
  <c r="H39" i="9"/>
  <c r="N39" i="9"/>
  <c r="H38" i="9"/>
  <c r="N38" i="9"/>
  <c r="N35" i="9"/>
  <c r="G42" i="9"/>
  <c r="M41" i="9"/>
  <c r="M42" i="9"/>
  <c r="G41" i="9"/>
  <c r="M36" i="9"/>
  <c r="M40" i="9"/>
  <c r="M38" i="9"/>
  <c r="M39" i="9"/>
  <c r="L41" i="9"/>
  <c r="G37" i="9"/>
  <c r="G40" i="9"/>
  <c r="G35" i="9"/>
  <c r="F41" i="9"/>
  <c r="M37" i="9"/>
  <c r="M35" i="9"/>
  <c r="L42" i="9"/>
  <c r="G36" i="9"/>
  <c r="G38" i="9"/>
  <c r="G39" i="9"/>
  <c r="F42" i="9"/>
  <c r="L38" i="9"/>
  <c r="L39" i="9"/>
  <c r="L37" i="9"/>
  <c r="L35" i="9"/>
  <c r="F39" i="9"/>
  <c r="F37" i="9"/>
  <c r="F35" i="9"/>
  <c r="L40" i="9"/>
  <c r="L36" i="9"/>
  <c r="F40" i="9"/>
  <c r="F36" i="9"/>
  <c r="F38" i="9"/>
  <c r="AB35" i="6"/>
  <c r="AB34" i="6"/>
  <c r="AB33" i="6"/>
  <c r="AB36" i="6"/>
  <c r="AC29" i="6"/>
  <c r="AC33" i="6" s="1"/>
  <c r="AC32" i="6"/>
  <c r="AC36" i="6" s="1"/>
  <c r="AC30" i="6"/>
  <c r="AC34" i="6" s="1"/>
  <c r="AC31" i="6"/>
  <c r="AC35" i="6" s="1"/>
  <c r="M25" i="11" l="1"/>
  <c r="M30" i="11"/>
  <c r="O27" i="11"/>
  <c r="M26" i="11"/>
  <c r="M29" i="11"/>
  <c r="L27" i="11"/>
  <c r="L29" i="11"/>
  <c r="L30" i="11"/>
  <c r="L28" i="11"/>
  <c r="L26" i="11"/>
  <c r="L25" i="11"/>
  <c r="O36" i="9"/>
  <c r="E36" i="11" s="1"/>
  <c r="K40" i="11" s="1"/>
  <c r="I37" i="9"/>
  <c r="D37" i="11" s="1"/>
  <c r="J37" i="11" s="1"/>
  <c r="I38" i="9"/>
  <c r="D38" i="11" s="1"/>
  <c r="J41" i="11" s="1"/>
  <c r="O40" i="9"/>
  <c r="E40" i="11" s="1"/>
  <c r="K36" i="11" s="1"/>
  <c r="I39" i="9"/>
  <c r="D39" i="11" s="1"/>
  <c r="J38" i="11" s="1"/>
  <c r="O38" i="9"/>
  <c r="E38" i="11" s="1"/>
  <c r="K41" i="11" s="1"/>
  <c r="I36" i="9"/>
  <c r="D36" i="11" s="1"/>
  <c r="J40" i="11" s="1"/>
  <c r="O39" i="9"/>
  <c r="E39" i="11" s="1"/>
  <c r="K38" i="11" s="1"/>
  <c r="I35" i="9"/>
  <c r="D35" i="11" s="1"/>
  <c r="O37" i="9"/>
  <c r="E37" i="11" s="1"/>
  <c r="K37" i="11" s="1"/>
  <c r="O35" i="9"/>
  <c r="E35" i="11" s="1"/>
  <c r="I40" i="9"/>
  <c r="D40" i="11" s="1"/>
  <c r="J36" i="11" s="1"/>
  <c r="I42" i="9"/>
  <c r="D42" i="11" s="1"/>
  <c r="O42" i="9"/>
  <c r="E42" i="11" s="1"/>
  <c r="I41" i="9"/>
  <c r="D41" i="11" s="1"/>
  <c r="J39" i="11" s="1"/>
  <c r="O41" i="9"/>
  <c r="E41" i="11" s="1"/>
  <c r="K39" i="11" s="1"/>
  <c r="AD31" i="6"/>
  <c r="AD35" i="6" s="1"/>
  <c r="AD29" i="6"/>
  <c r="AD33" i="6" s="1"/>
  <c r="AD30" i="6"/>
  <c r="AD34" i="6" s="1"/>
  <c r="AD32" i="6"/>
  <c r="AD36" i="6" s="1"/>
  <c r="M38" i="11" l="1"/>
  <c r="N38" i="11"/>
  <c r="N41" i="11"/>
  <c r="N40" i="11"/>
  <c r="N36" i="11"/>
  <c r="N37" i="11"/>
  <c r="N39" i="11"/>
  <c r="AE29" i="6"/>
  <c r="AE33" i="6" s="1"/>
  <c r="AE32" i="6"/>
  <c r="AE36" i="6" s="1"/>
  <c r="AE30" i="6"/>
  <c r="AE34" i="6" s="1"/>
  <c r="AE31" i="6"/>
  <c r="AE35" i="6" s="1"/>
  <c r="O38" i="11" l="1"/>
  <c r="L38" i="11"/>
  <c r="L41" i="11"/>
  <c r="M41" i="11"/>
  <c r="O41" i="11"/>
  <c r="M36" i="11"/>
  <c r="O36" i="11"/>
  <c r="M37" i="11"/>
  <c r="O37" i="11"/>
  <c r="M40" i="11"/>
  <c r="O40" i="11"/>
  <c r="M39" i="11"/>
  <c r="O39" i="11"/>
  <c r="L37" i="11"/>
  <c r="L39" i="11"/>
  <c r="L40" i="11"/>
  <c r="L36" i="11"/>
  <c r="AF29" i="6"/>
  <c r="AF33" i="6" s="1"/>
  <c r="AF32" i="6"/>
  <c r="AF36" i="6" s="1"/>
  <c r="AF31" i="6"/>
  <c r="AF35" i="6" s="1"/>
  <c r="AF30" i="6"/>
  <c r="AF34" i="6" s="1"/>
</calcChain>
</file>

<file path=xl/connections.xml><?xml version="1.0" encoding="utf-8"?>
<connections xmlns="http://schemas.openxmlformats.org/spreadsheetml/2006/main">
  <connection id="1" name="july_tides_practice" type="6" refreshedVersion="5" background="1" saveData="1">
    <textPr codePage="850" sourceFile="\\Fileserver\Student$\2010\10OSaunderson\Year 12\IT\Exam Practice\Pre Release\july_tides_practice.txt" comma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<sst xmlns="http://schemas.openxmlformats.org/spreadsheetml/2006/main" count="430" uniqueCount="108">
  <si>
    <t>Moon</t>
  </si>
  <si>
    <t>Date</t>
  </si>
  <si>
    <t>High Tide</t>
  </si>
  <si>
    <t>Height</t>
  </si>
  <si>
    <t xml:space="preserve">Low Tide </t>
  </si>
  <si>
    <t>Sunrise</t>
  </si>
  <si>
    <t>Sunset</t>
  </si>
  <si>
    <t>Moon Rise</t>
  </si>
  <si>
    <t>Moon Set</t>
  </si>
  <si>
    <t>Moon Type</t>
  </si>
  <si>
    <t>First Quarter Moon</t>
  </si>
  <si>
    <t>Waxing Quarter Moon</t>
  </si>
  <si>
    <t>HighTide</t>
  </si>
  <si>
    <t>Gibbous Moon</t>
  </si>
  <si>
    <t>Waxing Gibbous Moon</t>
  </si>
  <si>
    <t>Full Moon</t>
  </si>
  <si>
    <t>Waning Full Moon</t>
  </si>
  <si>
    <t>Waning Gibbous Moon</t>
  </si>
  <si>
    <t>Third Quarter Moon</t>
  </si>
  <si>
    <t>Waning Quarter Moon</t>
  </si>
  <si>
    <t>Crescent Moon</t>
  </si>
  <si>
    <t>Waning Crescent Moon</t>
  </si>
  <si>
    <t>New Moon</t>
  </si>
  <si>
    <t>Waxing New Moon</t>
  </si>
  <si>
    <t>Waxing Crescent Moon</t>
  </si>
  <si>
    <t>High Tide Day</t>
  </si>
  <si>
    <t>High Tide Difference</t>
  </si>
  <si>
    <t>3rd day in cycle</t>
  </si>
  <si>
    <t>Degrees</t>
  </si>
  <si>
    <t>Radians</t>
  </si>
  <si>
    <t>Sin</t>
  </si>
  <si>
    <t>Next</t>
  </si>
  <si>
    <t>Adjust Line</t>
  </si>
  <si>
    <t>Cos</t>
  </si>
  <si>
    <t>Sinh</t>
  </si>
  <si>
    <t>Sights</t>
  </si>
  <si>
    <t>Seal Flats</t>
  </si>
  <si>
    <t>Upton Manor</t>
  </si>
  <si>
    <t>Wilson Falls</t>
  </si>
  <si>
    <t>Marina</t>
  </si>
  <si>
    <t>Hi_Lo</t>
  </si>
  <si>
    <t>Hi</t>
  </si>
  <si>
    <t>Lo</t>
  </si>
  <si>
    <t>Tide</t>
  </si>
  <si>
    <t>N</t>
  </si>
  <si>
    <t>Y</t>
  </si>
  <si>
    <t>Sunday</t>
  </si>
  <si>
    <t>Monday</t>
  </si>
  <si>
    <t>Tuesday</t>
  </si>
  <si>
    <t>Wednesday</t>
  </si>
  <si>
    <t>Thursday</t>
  </si>
  <si>
    <t>Friday</t>
  </si>
  <si>
    <t>Saturday</t>
  </si>
  <si>
    <t>Time In</t>
  </si>
  <si>
    <t>Time Out</t>
  </si>
  <si>
    <t>Matildas Secret</t>
  </si>
  <si>
    <t>Tide Start</t>
  </si>
  <si>
    <t>Sorted</t>
  </si>
  <si>
    <t>Time 1</t>
  </si>
  <si>
    <t>Time 2</t>
  </si>
  <si>
    <t>Time 3</t>
  </si>
  <si>
    <t>Time 4</t>
  </si>
  <si>
    <t>Tide 1</t>
  </si>
  <si>
    <t>Tide 2</t>
  </si>
  <si>
    <t>Tide 3</t>
  </si>
  <si>
    <t>Tide 4</t>
  </si>
  <si>
    <t>July</t>
  </si>
  <si>
    <t>August</t>
  </si>
  <si>
    <t>January</t>
  </si>
  <si>
    <t>February</t>
  </si>
  <si>
    <t>March</t>
  </si>
  <si>
    <t>April</t>
  </si>
  <si>
    <t>May</t>
  </si>
  <si>
    <t>June</t>
  </si>
  <si>
    <t>September</t>
  </si>
  <si>
    <t>October</t>
  </si>
  <si>
    <t>November</t>
  </si>
  <si>
    <t>December</t>
  </si>
  <si>
    <t>Before In</t>
  </si>
  <si>
    <t>After In</t>
  </si>
  <si>
    <t>Tide Before</t>
  </si>
  <si>
    <t>Tide After</t>
  </si>
  <si>
    <t>Ratio</t>
  </si>
  <si>
    <t>Tide   End</t>
  </si>
  <si>
    <t>Before Out</t>
  </si>
  <si>
    <t>After Out</t>
  </si>
  <si>
    <t>Week Beginning</t>
  </si>
  <si>
    <t>Statistics</t>
  </si>
  <si>
    <t>Visits</t>
  </si>
  <si>
    <t>Lowest</t>
  </si>
  <si>
    <t>Highest</t>
  </si>
  <si>
    <t>Tide End</t>
  </si>
  <si>
    <t>Depth In</t>
  </si>
  <si>
    <t>Depth Out</t>
  </si>
  <si>
    <t>Clearance Out</t>
  </si>
  <si>
    <t>Time</t>
  </si>
  <si>
    <t>Fingals Cave</t>
  </si>
  <si>
    <t>Times</t>
  </si>
  <si>
    <t>Clearance In</t>
  </si>
  <si>
    <t>Bird Sanctuary</t>
  </si>
  <si>
    <t>CG_OK_V</t>
  </si>
  <si>
    <t>Day in Cycle</t>
  </si>
  <si>
    <t>Adjustment</t>
  </si>
  <si>
    <t>Phase</t>
  </si>
  <si>
    <t xml:space="preserve">In  Line                                                          </t>
  </si>
  <si>
    <t>Out Line</t>
  </si>
  <si>
    <t>Phase Angle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</si>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</sst>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00"/>
    <numFmt numFmtId="166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 vertical="top" wrapText="1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 vertical="top" wrapText="1"/>
    </xf>
    <xf numFmtId="14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20" fontId="0" fillId="2" borderId="0" xfId="0" applyNumberFormat="1" applyFill="1"/>
    <xf numFmtId="0" fontId="0" fillId="2" borderId="0" xfId="0" applyFill="1" applyAlignment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20" fontId="0" fillId="2" borderId="0" xfId="0" applyNumberFormat="1" applyFont="1" applyFill="1" applyAlignment="1"/>
    <xf numFmtId="20" fontId="0" fillId="2" borderId="0" xfId="0" applyNumberFormat="1" applyFill="1" applyAlignment="1"/>
    <xf numFmtId="0" fontId="1" fillId="2" borderId="0" xfId="0" applyFont="1" applyFill="1" applyAlignment="1">
      <alignment horizontal="center"/>
    </xf>
    <xf numFmtId="20" fontId="0" fillId="2" borderId="0" xfId="0" applyNumberFormat="1" applyFont="1" applyFill="1" applyAlignment="1">
      <alignment horizontal="right"/>
    </xf>
    <xf numFmtId="20" fontId="0" fillId="2" borderId="0" xfId="0" applyNumberFormat="1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NumberFormat="1" applyFill="1"/>
    <xf numFmtId="0" fontId="0" fillId="2" borderId="0" xfId="0" applyNumberFormat="1" applyFill="1" applyAlignment="1"/>
    <xf numFmtId="0" fontId="0" fillId="2" borderId="0" xfId="0" quotePrefix="1" applyFill="1"/>
    <xf numFmtId="20" fontId="0" fillId="2" borderId="0" xfId="0" quotePrefix="1" applyNumberFormat="1" applyFill="1" applyAlignment="1"/>
    <xf numFmtId="0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right"/>
    </xf>
    <xf numFmtId="0" fontId="1" fillId="2" borderId="0" xfId="0" applyFont="1" applyFill="1"/>
    <xf numFmtId="14" fontId="1" fillId="2" borderId="0" xfId="0" applyNumberFormat="1" applyFont="1" applyFill="1"/>
    <xf numFmtId="21" fontId="0" fillId="2" borderId="0" xfId="0" applyNumberFormat="1" applyFill="1"/>
    <xf numFmtId="0" fontId="0" fillId="3" borderId="0" xfId="0" applyFill="1" applyProtection="1">
      <protection locked="0"/>
    </xf>
    <xf numFmtId="20" fontId="0" fillId="3" borderId="0" xfId="0" applyNumberFormat="1" applyFill="1" applyProtection="1">
      <protection locked="0"/>
    </xf>
    <xf numFmtId="0" fontId="0" fillId="4" borderId="0" xfId="0" applyFill="1" applyAlignment="1" applyProtection="1">
      <protection locked="0"/>
    </xf>
    <xf numFmtId="0" fontId="0" fillId="4" borderId="0" xfId="0" applyFill="1" applyAlignment="1" applyProtection="1">
      <alignment horizontal="left"/>
      <protection locked="0"/>
    </xf>
    <xf numFmtId="20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14" fontId="0" fillId="4" borderId="0" xfId="0" applyNumberFormat="1" applyFill="1" applyAlignment="1" applyProtection="1">
      <alignment horizontal="left"/>
      <protection locked="0"/>
    </xf>
    <xf numFmtId="166" fontId="0" fillId="2" borderId="0" xfId="0" applyNumberFormat="1" applyFill="1"/>
    <xf numFmtId="166" fontId="0" fillId="2" borderId="0" xfId="0" applyNumberFormat="1" applyFont="1" applyFill="1"/>
    <xf numFmtId="166" fontId="0" fillId="2" borderId="0" xfId="0" applyNumberFormat="1" applyFont="1" applyFill="1" applyAlignment="1">
      <alignment horizontal="left"/>
    </xf>
    <xf numFmtId="166" fontId="0" fillId="2" borderId="0" xfId="0" applyNumberFormat="1" applyFont="1" applyFill="1" applyAlignment="1"/>
    <xf numFmtId="0" fontId="2" fillId="2" borderId="0" xfId="0" applyFont="1" applyFill="1"/>
    <xf numFmtId="14" fontId="0" fillId="2" borderId="0" xfId="0" applyNumberFormat="1" applyFill="1" applyAlignment="1">
      <alignment horizontal="center" vertical="top" wrapText="1"/>
    </xf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.gif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13" Type="http://schemas.openxmlformats.org/officeDocument/2006/relationships/image" Target="../media/image3.jpeg"/><Relationship Id="rId3" Type="http://schemas.openxmlformats.org/officeDocument/2006/relationships/image" Target="../media/image10.jpeg"/><Relationship Id="rId7" Type="http://schemas.openxmlformats.org/officeDocument/2006/relationships/image" Target="../media/image14.jpeg"/><Relationship Id="rId12" Type="http://schemas.openxmlformats.org/officeDocument/2006/relationships/image" Target="../media/image2.jpeg"/><Relationship Id="rId17" Type="http://schemas.openxmlformats.org/officeDocument/2006/relationships/image" Target="../media/image7.jpeg"/><Relationship Id="rId2" Type="http://schemas.openxmlformats.org/officeDocument/2006/relationships/image" Target="../media/image9.jpeg"/><Relationship Id="rId16" Type="http://schemas.openxmlformats.org/officeDocument/2006/relationships/image" Target="../media/image6.jpeg"/><Relationship Id="rId1" Type="http://schemas.openxmlformats.org/officeDocument/2006/relationships/image" Target="../media/image8.jpeg"/><Relationship Id="rId6" Type="http://schemas.openxmlformats.org/officeDocument/2006/relationships/image" Target="../media/image13.jpeg"/><Relationship Id="rId11" Type="http://schemas.openxmlformats.org/officeDocument/2006/relationships/image" Target="../media/image18.jpeg"/><Relationship Id="rId5" Type="http://schemas.openxmlformats.org/officeDocument/2006/relationships/image" Target="../media/image12.jpeg"/><Relationship Id="rId15" Type="http://schemas.openxmlformats.org/officeDocument/2006/relationships/image" Target="../media/image5.jpeg"/><Relationship Id="rId10" Type="http://schemas.openxmlformats.org/officeDocument/2006/relationships/image" Target="../media/image17.jpeg"/><Relationship Id="rId4" Type="http://schemas.openxmlformats.org/officeDocument/2006/relationships/image" Target="../media/image11.png"/><Relationship Id="rId9" Type="http://schemas.openxmlformats.org/officeDocument/2006/relationships/image" Target="../media/image16.jpeg"/><Relationship Id="rId1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5292</xdr:colOff>
      <xdr:row>0</xdr:row>
      <xdr:rowOff>0</xdr:rowOff>
    </xdr:from>
    <xdr:to>
      <xdr:col>19</xdr:col>
      <xdr:colOff>223338</xdr:colOff>
      <xdr:row>10</xdr:row>
      <xdr:rowOff>0</xdr:rowOff>
    </xdr:to>
    <xdr:pic>
      <xdr:nvPicPr>
        <xdr:cNvPr id="3" name="Picture 2" descr="LM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84" y="0"/>
          <a:ext cx="22801163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152400</xdr:colOff>
      <xdr:row>9</xdr:row>
      <xdr:rowOff>171681</xdr:rowOff>
    </xdr:to>
    <xdr:pic>
      <xdr:nvPicPr>
        <xdr:cNvPr id="2" name="Picture 1" descr="LM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87125" cy="1886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0</xdr:row>
      <xdr:rowOff>0</xdr:rowOff>
    </xdr:from>
    <xdr:to>
      <xdr:col>21</xdr:col>
      <xdr:colOff>146796</xdr:colOff>
      <xdr:row>10</xdr:row>
      <xdr:rowOff>0</xdr:rowOff>
    </xdr:to>
    <xdr:pic>
      <xdr:nvPicPr>
        <xdr:cNvPr id="2" name="Picture 1" descr="LM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4925" y="0"/>
          <a:ext cx="11376771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15</xdr:col>
      <xdr:colOff>377638</xdr:colOff>
      <xdr:row>10</xdr:row>
      <xdr:rowOff>19050</xdr:rowOff>
    </xdr:to>
    <xdr:pic>
      <xdr:nvPicPr>
        <xdr:cNvPr id="2" name="Picture 1" descr="LM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11430000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123471</xdr:colOff>
      <xdr:row>10</xdr:row>
      <xdr:rowOff>0</xdr:rowOff>
    </xdr:to>
    <xdr:pic>
      <xdr:nvPicPr>
        <xdr:cNvPr id="2" name="Picture 1" descr="LM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403076" cy="1905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333375</xdr:colOff>
      <xdr:row>10</xdr:row>
      <xdr:rowOff>0</xdr:rowOff>
    </xdr:to>
    <xdr:pic>
      <xdr:nvPicPr>
        <xdr:cNvPr id="4" name="Picture 3" descr="LM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430000" cy="1905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10</xdr:row>
      <xdr:rowOff>762000</xdr:rowOff>
    </xdr:to>
    <xdr:pic>
      <xdr:nvPicPr>
        <xdr:cNvPr id="34" name="Picture 33" descr="19th October 2014 will be a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10</xdr:row>
      <xdr:rowOff>762000</xdr:rowOff>
    </xdr:to>
    <xdr:pic>
      <xdr:nvPicPr>
        <xdr:cNvPr id="35" name="Picture 34" descr="21st October 2014 will be a Waning Crescent Mo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762000</xdr:colOff>
      <xdr:row>10</xdr:row>
      <xdr:rowOff>762000</xdr:rowOff>
    </xdr:to>
    <xdr:pic>
      <xdr:nvPicPr>
        <xdr:cNvPr id="36" name="Picture 35" descr="21st October 2014 will be a Waning Crescent Mo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526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762000</xdr:colOff>
      <xdr:row>10</xdr:row>
      <xdr:rowOff>762000</xdr:rowOff>
    </xdr:to>
    <xdr:pic>
      <xdr:nvPicPr>
        <xdr:cNvPr id="37" name="Picture 30" descr="23rd October 2014 will be a New Mo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337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762000</xdr:colOff>
      <xdr:row>10</xdr:row>
      <xdr:rowOff>762000</xdr:rowOff>
    </xdr:to>
    <xdr:pic>
      <xdr:nvPicPr>
        <xdr:cNvPr id="38" name="Picture 30" descr="23rd October 2014 will be a New Mo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147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762000</xdr:colOff>
      <xdr:row>10</xdr:row>
      <xdr:rowOff>762000</xdr:rowOff>
    </xdr:to>
    <xdr:pic>
      <xdr:nvPicPr>
        <xdr:cNvPr id="39" name="Picture 31" descr="25th October 2014 will be a Waxing New Mo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958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762000</xdr:colOff>
      <xdr:row>10</xdr:row>
      <xdr:rowOff>762000</xdr:rowOff>
    </xdr:to>
    <xdr:pic>
      <xdr:nvPicPr>
        <xdr:cNvPr id="40" name="Picture 32" descr="26th October 2014 will be a Crescent Mo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768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762000</xdr:colOff>
      <xdr:row>10</xdr:row>
      <xdr:rowOff>762000</xdr:rowOff>
    </xdr:to>
    <xdr:pic>
      <xdr:nvPicPr>
        <xdr:cNvPr id="41" name="Picture 32" descr="26th October 2014 will be a Crescent Mo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579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762000</xdr:colOff>
      <xdr:row>10</xdr:row>
      <xdr:rowOff>762000</xdr:rowOff>
    </xdr:to>
    <xdr:pic>
      <xdr:nvPicPr>
        <xdr:cNvPr id="42" name="Picture 33" descr="28th October 2014 will be a Waxing Crescent Moo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389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762000</xdr:colOff>
      <xdr:row>10</xdr:row>
      <xdr:rowOff>762000</xdr:rowOff>
    </xdr:to>
    <xdr:pic>
      <xdr:nvPicPr>
        <xdr:cNvPr id="43" name="Picture 33" descr="28th October 2014 will be a Waxing Crescent Moo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8200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762000</xdr:colOff>
      <xdr:row>10</xdr:row>
      <xdr:rowOff>762000</xdr:rowOff>
    </xdr:to>
    <xdr:pic>
      <xdr:nvPicPr>
        <xdr:cNvPr id="44" name="Picture 34" descr="30th October 2014 will be a First Quarter Moo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010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762000</xdr:colOff>
      <xdr:row>10</xdr:row>
      <xdr:rowOff>762000</xdr:rowOff>
    </xdr:to>
    <xdr:pic>
      <xdr:nvPicPr>
        <xdr:cNvPr id="45" name="Picture 34" descr="30th October 2014 will be a First Quarter Moo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3821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762000</xdr:colOff>
      <xdr:row>10</xdr:row>
      <xdr:rowOff>762000</xdr:rowOff>
    </xdr:to>
    <xdr:pic>
      <xdr:nvPicPr>
        <xdr:cNvPr id="46" name="Picture 2" descr="2nd October 2014 will be a Waxing Quarter Moo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1631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762000</xdr:colOff>
      <xdr:row>10</xdr:row>
      <xdr:rowOff>762000</xdr:rowOff>
    </xdr:to>
    <xdr:pic>
      <xdr:nvPicPr>
        <xdr:cNvPr id="47" name="Picture 3" descr="3rd October 2014 will be a Waxing Quarter Moo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9442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771525</xdr:colOff>
      <xdr:row>10</xdr:row>
      <xdr:rowOff>0</xdr:rowOff>
    </xdr:from>
    <xdr:to>
      <xdr:col>15</xdr:col>
      <xdr:colOff>739775</xdr:colOff>
      <xdr:row>10</xdr:row>
      <xdr:rowOff>762000</xdr:rowOff>
    </xdr:to>
    <xdr:pic>
      <xdr:nvPicPr>
        <xdr:cNvPr id="48" name="Picture 4" descr="4th October 2014 will be a Gibbous Moon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7157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752475</xdr:colOff>
      <xdr:row>10</xdr:row>
      <xdr:rowOff>0</xdr:rowOff>
    </xdr:from>
    <xdr:to>
      <xdr:col>16</xdr:col>
      <xdr:colOff>720725</xdr:colOff>
      <xdr:row>10</xdr:row>
      <xdr:rowOff>762000</xdr:rowOff>
    </xdr:to>
    <xdr:pic>
      <xdr:nvPicPr>
        <xdr:cNvPr id="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477750" y="0"/>
          <a:ext cx="762000" cy="762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771525</xdr:colOff>
      <xdr:row>10</xdr:row>
      <xdr:rowOff>0</xdr:rowOff>
    </xdr:from>
    <xdr:to>
      <xdr:col>17</xdr:col>
      <xdr:colOff>739775</xdr:colOff>
      <xdr:row>10</xdr:row>
      <xdr:rowOff>762000</xdr:rowOff>
    </xdr:to>
    <xdr:pic>
      <xdr:nvPicPr>
        <xdr:cNvPr id="50" name="Picture 6" descr="6th October 2014 will be a Waxing Gibbous Moon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778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771525</xdr:colOff>
      <xdr:row>10</xdr:row>
      <xdr:rowOff>0</xdr:rowOff>
    </xdr:from>
    <xdr:to>
      <xdr:col>18</xdr:col>
      <xdr:colOff>739775</xdr:colOff>
      <xdr:row>10</xdr:row>
      <xdr:rowOff>762000</xdr:rowOff>
    </xdr:to>
    <xdr:pic>
      <xdr:nvPicPr>
        <xdr:cNvPr id="51" name="Picture 7" descr="7th October 2014 will be a Full Moo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0589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762000</xdr:colOff>
      <xdr:row>10</xdr:row>
      <xdr:rowOff>0</xdr:rowOff>
    </xdr:from>
    <xdr:to>
      <xdr:col>19</xdr:col>
      <xdr:colOff>723900</xdr:colOff>
      <xdr:row>10</xdr:row>
      <xdr:rowOff>762000</xdr:rowOff>
    </xdr:to>
    <xdr:pic>
      <xdr:nvPicPr>
        <xdr:cNvPr id="52" name="Picture 7" descr="7th October 2014 will be a Full Moo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8304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762000</xdr:colOff>
      <xdr:row>10</xdr:row>
      <xdr:rowOff>0</xdr:rowOff>
    </xdr:from>
    <xdr:to>
      <xdr:col>21</xdr:col>
      <xdr:colOff>15875</xdr:colOff>
      <xdr:row>10</xdr:row>
      <xdr:rowOff>762000</xdr:rowOff>
    </xdr:to>
    <xdr:pic>
      <xdr:nvPicPr>
        <xdr:cNvPr id="53" name="Picture 8" descr="9th October 2014 will be a Waning Full Moo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56114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752475</xdr:colOff>
      <xdr:row>10</xdr:row>
      <xdr:rowOff>0</xdr:rowOff>
    </xdr:from>
    <xdr:to>
      <xdr:col>21</xdr:col>
      <xdr:colOff>768350</xdr:colOff>
      <xdr:row>10</xdr:row>
      <xdr:rowOff>762000</xdr:rowOff>
    </xdr:to>
    <xdr:pic>
      <xdr:nvPicPr>
        <xdr:cNvPr id="54" name="Picture 9" descr="10th October 2014 will be a Waning Full Moo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63830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752475</xdr:colOff>
      <xdr:row>10</xdr:row>
      <xdr:rowOff>0</xdr:rowOff>
    </xdr:from>
    <xdr:to>
      <xdr:col>22</xdr:col>
      <xdr:colOff>720725</xdr:colOff>
      <xdr:row>10</xdr:row>
      <xdr:rowOff>762000</xdr:rowOff>
    </xdr:to>
    <xdr:pic>
      <xdr:nvPicPr>
        <xdr:cNvPr id="55" name="Picture 54" descr="11th October 2014 will be a Gibbous Moo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1640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752475</xdr:colOff>
      <xdr:row>10</xdr:row>
      <xdr:rowOff>0</xdr:rowOff>
    </xdr:from>
    <xdr:to>
      <xdr:col>23</xdr:col>
      <xdr:colOff>720725</xdr:colOff>
      <xdr:row>10</xdr:row>
      <xdr:rowOff>762000</xdr:rowOff>
    </xdr:to>
    <xdr:pic>
      <xdr:nvPicPr>
        <xdr:cNvPr id="56" name="Picture 55" descr="12th October 2014 will be a Gibbous Moo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79451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762000</xdr:colOff>
      <xdr:row>10</xdr:row>
      <xdr:rowOff>0</xdr:rowOff>
    </xdr:from>
    <xdr:to>
      <xdr:col>24</xdr:col>
      <xdr:colOff>730250</xdr:colOff>
      <xdr:row>10</xdr:row>
      <xdr:rowOff>762000</xdr:rowOff>
    </xdr:to>
    <xdr:pic>
      <xdr:nvPicPr>
        <xdr:cNvPr id="57" name="Picture 56" descr="13th October 2014 will be a Waning Gibbous Moo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7356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38100</xdr:colOff>
      <xdr:row>10</xdr:row>
      <xdr:rowOff>0</xdr:rowOff>
    </xdr:from>
    <xdr:to>
      <xdr:col>25</xdr:col>
      <xdr:colOff>800100</xdr:colOff>
      <xdr:row>10</xdr:row>
      <xdr:rowOff>762000</xdr:rowOff>
    </xdr:to>
    <xdr:pic>
      <xdr:nvPicPr>
        <xdr:cNvPr id="66" name="Picture 65" descr="14th October 2014 will be a Third Quarter Moo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95738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28575</xdr:colOff>
      <xdr:row>10</xdr:row>
      <xdr:rowOff>0</xdr:rowOff>
    </xdr:from>
    <xdr:to>
      <xdr:col>26</xdr:col>
      <xdr:colOff>790575</xdr:colOff>
      <xdr:row>10</xdr:row>
      <xdr:rowOff>762000</xdr:rowOff>
    </xdr:to>
    <xdr:pic>
      <xdr:nvPicPr>
        <xdr:cNvPr id="67" name="Picture 66" descr="14th October 2014 will be a Third Quarter Moo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03454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38100</xdr:colOff>
      <xdr:row>10</xdr:row>
      <xdr:rowOff>0</xdr:rowOff>
    </xdr:from>
    <xdr:to>
      <xdr:col>28</xdr:col>
      <xdr:colOff>800100</xdr:colOff>
      <xdr:row>10</xdr:row>
      <xdr:rowOff>762000</xdr:rowOff>
    </xdr:to>
    <xdr:pic>
      <xdr:nvPicPr>
        <xdr:cNvPr id="68" name="Picture 67" descr="17th October 2014 will be a Waning Quarter Moo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9170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28575</xdr:colOff>
      <xdr:row>10</xdr:row>
      <xdr:rowOff>0</xdr:rowOff>
    </xdr:from>
    <xdr:to>
      <xdr:col>29</xdr:col>
      <xdr:colOff>790575</xdr:colOff>
      <xdr:row>10</xdr:row>
      <xdr:rowOff>762000</xdr:rowOff>
    </xdr:to>
    <xdr:pic>
      <xdr:nvPicPr>
        <xdr:cNvPr id="69" name="Picture 68" descr="17th October 2014 will be a Waning Quarter Moo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26885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28575</xdr:colOff>
      <xdr:row>10</xdr:row>
      <xdr:rowOff>0</xdr:rowOff>
    </xdr:from>
    <xdr:to>
      <xdr:col>30</xdr:col>
      <xdr:colOff>790575</xdr:colOff>
      <xdr:row>10</xdr:row>
      <xdr:rowOff>762000</xdr:rowOff>
    </xdr:to>
    <xdr:pic>
      <xdr:nvPicPr>
        <xdr:cNvPr id="70" name="Picture 69" descr="19th October 2014 will be a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696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742950</xdr:colOff>
      <xdr:row>10</xdr:row>
      <xdr:rowOff>0</xdr:rowOff>
    </xdr:from>
    <xdr:to>
      <xdr:col>31</xdr:col>
      <xdr:colOff>704850</xdr:colOff>
      <xdr:row>10</xdr:row>
      <xdr:rowOff>762000</xdr:rowOff>
    </xdr:to>
    <xdr:pic>
      <xdr:nvPicPr>
        <xdr:cNvPr id="71" name="Picture 70" descr="19th October 2014 will be a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839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38100</xdr:colOff>
      <xdr:row>10</xdr:row>
      <xdr:rowOff>0</xdr:rowOff>
    </xdr:from>
    <xdr:to>
      <xdr:col>27</xdr:col>
      <xdr:colOff>806450</xdr:colOff>
      <xdr:row>10</xdr:row>
      <xdr:rowOff>762000</xdr:rowOff>
    </xdr:to>
    <xdr:pic>
      <xdr:nvPicPr>
        <xdr:cNvPr id="74" name="Picture 73" descr="14th October 2014 will be a Third Quarter Moo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11359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454025</xdr:colOff>
      <xdr:row>10</xdr:row>
      <xdr:rowOff>0</xdr:rowOff>
    </xdr:to>
    <xdr:pic>
      <xdr:nvPicPr>
        <xdr:cNvPr id="75" name="Picture 74" descr="LML.gif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11445875" cy="1905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762000</xdr:colOff>
      <xdr:row>0</xdr:row>
      <xdr:rowOff>762000</xdr:rowOff>
    </xdr:to>
    <xdr:pic>
      <xdr:nvPicPr>
        <xdr:cNvPr id="1025" name="Picture 1" descr="1st October 2014 will be a First Quarter Mo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762000</xdr:colOff>
      <xdr:row>0</xdr:row>
      <xdr:rowOff>762000</xdr:rowOff>
    </xdr:to>
    <xdr:pic>
      <xdr:nvPicPr>
        <xdr:cNvPr id="1026" name="Picture 2" descr="2nd October 2014 will be a Waxing Quarter Mo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762000</xdr:colOff>
      <xdr:row>0</xdr:row>
      <xdr:rowOff>762000</xdr:rowOff>
    </xdr:to>
    <xdr:pic>
      <xdr:nvPicPr>
        <xdr:cNvPr id="1027" name="Picture 3" descr="3rd October 2014 will be a Waxing Quarter Mo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383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771525</xdr:colOff>
      <xdr:row>0</xdr:row>
      <xdr:rowOff>0</xdr:rowOff>
    </xdr:from>
    <xdr:to>
      <xdr:col>5</xdr:col>
      <xdr:colOff>9525</xdr:colOff>
      <xdr:row>0</xdr:row>
      <xdr:rowOff>762000</xdr:rowOff>
    </xdr:to>
    <xdr:pic>
      <xdr:nvPicPr>
        <xdr:cNvPr id="1028" name="Picture 4" descr="4th October 2014 will be a Gibbous Mo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573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</xdr:colOff>
      <xdr:row>0</xdr:row>
      <xdr:rowOff>0</xdr:rowOff>
    </xdr:from>
    <xdr:to>
      <xdr:col>5</xdr:col>
      <xdr:colOff>771525</xdr:colOff>
      <xdr:row>0</xdr:row>
      <xdr:rowOff>762000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19325" y="0"/>
          <a:ext cx="762000" cy="762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781050</xdr:colOff>
      <xdr:row>0</xdr:row>
      <xdr:rowOff>762000</xdr:rowOff>
    </xdr:to>
    <xdr:pic>
      <xdr:nvPicPr>
        <xdr:cNvPr id="1030" name="Picture 6" descr="6th October 2014 will be a Waxing Gibbous Moo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816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762000</xdr:colOff>
      <xdr:row>0</xdr:row>
      <xdr:rowOff>762000</xdr:rowOff>
    </xdr:to>
    <xdr:pic>
      <xdr:nvPicPr>
        <xdr:cNvPr id="1031" name="Picture 7" descr="7th October 2014 will be a Full Moo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859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762000</xdr:colOff>
      <xdr:row>0</xdr:row>
      <xdr:rowOff>762000</xdr:rowOff>
    </xdr:to>
    <xdr:pic>
      <xdr:nvPicPr>
        <xdr:cNvPr id="10" name="Picture 7" descr="7th October 2014 will be a Full Moo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002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762000</xdr:colOff>
      <xdr:row>0</xdr:row>
      <xdr:rowOff>762000</xdr:rowOff>
    </xdr:to>
    <xdr:pic>
      <xdr:nvPicPr>
        <xdr:cNvPr id="1032" name="Picture 8" descr="9th October 2014 will be a Waning Full Moo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0384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762000</xdr:colOff>
      <xdr:row>0</xdr:row>
      <xdr:rowOff>762000</xdr:rowOff>
    </xdr:to>
    <xdr:pic>
      <xdr:nvPicPr>
        <xdr:cNvPr id="1033" name="Picture 9" descr="10th October 2014 will be a Waning Full Moo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100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762000</xdr:colOff>
      <xdr:row>0</xdr:row>
      <xdr:rowOff>762000</xdr:rowOff>
    </xdr:to>
    <xdr:pic>
      <xdr:nvPicPr>
        <xdr:cNvPr id="2" name="Picture 1" descr="11th October 2014 will be a Gibbous Moo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668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762000</xdr:colOff>
      <xdr:row>0</xdr:row>
      <xdr:rowOff>762000</xdr:rowOff>
    </xdr:to>
    <xdr:pic>
      <xdr:nvPicPr>
        <xdr:cNvPr id="3" name="Picture 2" descr="12th October 2014 will be a Gibbous Moo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479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762000</xdr:colOff>
      <xdr:row>0</xdr:row>
      <xdr:rowOff>762000</xdr:rowOff>
    </xdr:to>
    <xdr:pic>
      <xdr:nvPicPr>
        <xdr:cNvPr id="4" name="Picture 3" descr="13th October 2014 will be a Waning Gibbous Moon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0384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28575</xdr:colOff>
      <xdr:row>0</xdr:row>
      <xdr:rowOff>9525</xdr:rowOff>
    </xdr:from>
    <xdr:to>
      <xdr:col>14</xdr:col>
      <xdr:colOff>790575</xdr:colOff>
      <xdr:row>0</xdr:row>
      <xdr:rowOff>771525</xdr:rowOff>
    </xdr:to>
    <xdr:pic>
      <xdr:nvPicPr>
        <xdr:cNvPr id="5" name="Picture 4" descr="14th October 2014 will be a Third Quarter Mo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504950" y="9525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762000</xdr:colOff>
      <xdr:row>0</xdr:row>
      <xdr:rowOff>762000</xdr:rowOff>
    </xdr:to>
    <xdr:pic>
      <xdr:nvPicPr>
        <xdr:cNvPr id="16" name="Picture 15" descr="14th October 2014 will be a Third Quarter Mo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2955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762000</xdr:colOff>
      <xdr:row>0</xdr:row>
      <xdr:rowOff>762000</xdr:rowOff>
    </xdr:to>
    <xdr:pic>
      <xdr:nvPicPr>
        <xdr:cNvPr id="17" name="Picture 16" descr="14th October 2014 will be a Third Quarter Mo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670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762000</xdr:colOff>
      <xdr:row>0</xdr:row>
      <xdr:rowOff>762000</xdr:rowOff>
    </xdr:to>
    <xdr:pic>
      <xdr:nvPicPr>
        <xdr:cNvPr id="6" name="Picture 5" descr="17th October 2014 will be a Waning Quarter Moon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8481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762000</xdr:colOff>
      <xdr:row>0</xdr:row>
      <xdr:rowOff>762000</xdr:rowOff>
    </xdr:to>
    <xdr:pic>
      <xdr:nvPicPr>
        <xdr:cNvPr id="19" name="Picture 18" descr="17th October 2014 will be a Waning Quarter Moon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6196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47625</xdr:colOff>
      <xdr:row>0</xdr:row>
      <xdr:rowOff>762000</xdr:rowOff>
    </xdr:to>
    <xdr:pic>
      <xdr:nvPicPr>
        <xdr:cNvPr id="7" name="Picture 6" descr="19th October 2014 will be a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006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762000</xdr:colOff>
      <xdr:row>0</xdr:row>
      <xdr:rowOff>762000</xdr:rowOff>
    </xdr:to>
    <xdr:pic>
      <xdr:nvPicPr>
        <xdr:cNvPr id="21" name="Picture 20" descr="19th October 2014 will be a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2574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762000</xdr:colOff>
      <xdr:row>0</xdr:row>
      <xdr:rowOff>762000</xdr:rowOff>
    </xdr:to>
    <xdr:pic>
      <xdr:nvPicPr>
        <xdr:cNvPr id="8" name="Picture 7" descr="21st October 2014 will be a Waning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03847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762000</xdr:colOff>
      <xdr:row>0</xdr:row>
      <xdr:rowOff>762000</xdr:rowOff>
    </xdr:to>
    <xdr:pic>
      <xdr:nvPicPr>
        <xdr:cNvPr id="23" name="Picture 22" descr="21st October 2014 will be a Waning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290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762000</xdr:colOff>
      <xdr:row>0</xdr:row>
      <xdr:rowOff>762000</xdr:rowOff>
    </xdr:to>
    <xdr:pic>
      <xdr:nvPicPr>
        <xdr:cNvPr id="1054" name="Picture 30" descr="23rd October 2014 will be a New Moo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5910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24</xdr:col>
      <xdr:colOff>762000</xdr:colOff>
      <xdr:row>0</xdr:row>
      <xdr:rowOff>762000</xdr:rowOff>
    </xdr:to>
    <xdr:pic>
      <xdr:nvPicPr>
        <xdr:cNvPr id="25" name="Picture 30" descr="23rd October 2014 will be a New Moon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668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762000</xdr:colOff>
      <xdr:row>0</xdr:row>
      <xdr:rowOff>762000</xdr:rowOff>
    </xdr:to>
    <xdr:pic>
      <xdr:nvPicPr>
        <xdr:cNvPr id="1055" name="Picture 31" descr="25th October 2014 will be a Waxing New Moo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2479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26</xdr:col>
      <xdr:colOff>762000</xdr:colOff>
      <xdr:row>0</xdr:row>
      <xdr:rowOff>762000</xdr:rowOff>
    </xdr:to>
    <xdr:pic>
      <xdr:nvPicPr>
        <xdr:cNvPr id="1056" name="Picture 32" descr="26th October 2014 will be a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289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27</xdr:col>
      <xdr:colOff>0</xdr:colOff>
      <xdr:row>0</xdr:row>
      <xdr:rowOff>0</xdr:rowOff>
    </xdr:from>
    <xdr:to>
      <xdr:col>27</xdr:col>
      <xdr:colOff>762000</xdr:colOff>
      <xdr:row>0</xdr:row>
      <xdr:rowOff>762000</xdr:rowOff>
    </xdr:to>
    <xdr:pic>
      <xdr:nvPicPr>
        <xdr:cNvPr id="28" name="Picture 32" descr="26th October 2014 will be a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743325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762000</xdr:colOff>
      <xdr:row>0</xdr:row>
      <xdr:rowOff>762000</xdr:rowOff>
    </xdr:to>
    <xdr:pic>
      <xdr:nvPicPr>
        <xdr:cNvPr id="1057" name="Picture 33" descr="28th October 2014 will be a Waxing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4668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29</xdr:col>
      <xdr:colOff>0</xdr:colOff>
      <xdr:row>0</xdr:row>
      <xdr:rowOff>0</xdr:rowOff>
    </xdr:from>
    <xdr:to>
      <xdr:col>29</xdr:col>
      <xdr:colOff>762000</xdr:colOff>
      <xdr:row>0</xdr:row>
      <xdr:rowOff>762000</xdr:rowOff>
    </xdr:to>
    <xdr:pic>
      <xdr:nvPicPr>
        <xdr:cNvPr id="30" name="Picture 33" descr="28th October 2014 will be a Waxing Crescent Moon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24790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0</xdr:row>
      <xdr:rowOff>0</xdr:rowOff>
    </xdr:from>
    <xdr:to>
      <xdr:col>30</xdr:col>
      <xdr:colOff>762000</xdr:colOff>
      <xdr:row>0</xdr:row>
      <xdr:rowOff>762000</xdr:rowOff>
    </xdr:to>
    <xdr:pic>
      <xdr:nvPicPr>
        <xdr:cNvPr id="1058" name="Picture 34" descr="30th October 2014 will be a First Quarter Mo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0"/>
          <a:ext cx="762000" cy="762000"/>
        </a:xfrm>
        <a:prstGeom prst="rect">
          <a:avLst/>
        </a:prstGeom>
        <a:noFill/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31</xdr:col>
      <xdr:colOff>762000</xdr:colOff>
      <xdr:row>0</xdr:row>
      <xdr:rowOff>762000</xdr:rowOff>
    </xdr:to>
    <xdr:pic>
      <xdr:nvPicPr>
        <xdr:cNvPr id="32" name="Picture 34" descr="30th October 2014 will be a First Quarter Mo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0"/>
          <a:ext cx="762000" cy="762000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july_tides_practice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opLeftCell="E1" zoomScale="85" zoomScaleNormal="85" workbookViewId="0">
      <selection activeCell="H22" sqref="H22"/>
    </sheetView>
  </sheetViews>
  <sheetFormatPr defaultColWidth="32.85546875" defaultRowHeight="15" x14ac:dyDescent="0.25"/>
  <cols>
    <col min="1" max="1" width="15.5703125" style="12" bestFit="1" customWidth="1"/>
    <col min="2" max="2" width="11.5703125" style="12" bestFit="1" customWidth="1"/>
    <col min="3" max="3" width="9.140625" style="5" bestFit="1" customWidth="1"/>
    <col min="4" max="5" width="13.28515625" style="5" bestFit="1" customWidth="1"/>
    <col min="6" max="6" width="0.42578125" style="5" customWidth="1"/>
    <col min="7" max="7" width="4.28515625" style="5" hidden="1" customWidth="1"/>
    <col min="8" max="8" width="14.85546875" style="5" bestFit="1" customWidth="1"/>
    <col min="9" max="9" width="5.85546875" style="5" bestFit="1" customWidth="1"/>
    <col min="10" max="10" width="9.5703125" style="5" bestFit="1" customWidth="1"/>
    <col min="11" max="11" width="11.5703125" style="5" bestFit="1" customWidth="1"/>
    <col min="12" max="12" width="8.5703125" style="5" bestFit="1" customWidth="1"/>
    <col min="13" max="13" width="10.28515625" style="5" bestFit="1" customWidth="1"/>
    <col min="14" max="14" width="11.85546875" style="5" bestFit="1" customWidth="1"/>
    <col min="15" max="15" width="13.5703125" style="5" customWidth="1"/>
    <col min="16" max="16" width="0.42578125" style="5" customWidth="1"/>
    <col min="17" max="17" width="9.28515625" style="5" customWidth="1"/>
    <col min="18" max="20" width="4.42578125" style="5" bestFit="1" customWidth="1"/>
    <col min="21" max="21" width="11.5703125" style="5" bestFit="1" customWidth="1"/>
    <col min="22" max="32" width="4.42578125" style="5" bestFit="1" customWidth="1"/>
    <col min="33" max="16384" width="32.85546875" style="5"/>
  </cols>
  <sheetData>
    <row r="1" spans="1:22" x14ac:dyDescent="0.25">
      <c r="A1" s="12" t="str">
        <f>Sights!A12</f>
        <v>Bird Sanctuary</v>
      </c>
      <c r="B1" s="21">
        <v>0.375</v>
      </c>
      <c r="U1" s="7">
        <v>42527</v>
      </c>
    </row>
    <row r="2" spans="1:22" x14ac:dyDescent="0.25">
      <c r="A2" s="12" t="str">
        <f>Sights!A13</f>
        <v>Seal Flats</v>
      </c>
      <c r="B2" s="21">
        <v>0.41666666666666669</v>
      </c>
      <c r="U2" s="7">
        <f>U1+7</f>
        <v>42534</v>
      </c>
    </row>
    <row r="3" spans="1:22" x14ac:dyDescent="0.25">
      <c r="A3" s="12" t="str">
        <f>Sights!A14</f>
        <v>Upton Manor</v>
      </c>
      <c r="B3" s="21">
        <v>0.45833333333333331</v>
      </c>
      <c r="U3" s="7">
        <f t="shared" ref="U3:U14" si="0">U2+7</f>
        <v>42541</v>
      </c>
    </row>
    <row r="4" spans="1:22" x14ac:dyDescent="0.25">
      <c r="A4" s="12" t="str">
        <f>Sights!A15</f>
        <v>Fingals Cave</v>
      </c>
      <c r="B4" s="21">
        <v>0.5</v>
      </c>
      <c r="U4" s="7">
        <f t="shared" si="0"/>
        <v>42548</v>
      </c>
    </row>
    <row r="5" spans="1:22" x14ac:dyDescent="0.25">
      <c r="A5" s="12" t="str">
        <f>Sights!A16</f>
        <v>Matildas Secret</v>
      </c>
      <c r="B5" s="21"/>
      <c r="U5" s="7">
        <f t="shared" si="0"/>
        <v>42555</v>
      </c>
    </row>
    <row r="6" spans="1:22" x14ac:dyDescent="0.25">
      <c r="A6" s="12" t="str">
        <f>Sights!A17</f>
        <v>Wilson Falls</v>
      </c>
      <c r="B6" s="21"/>
      <c r="U6" s="7">
        <f t="shared" si="0"/>
        <v>42562</v>
      </c>
    </row>
    <row r="7" spans="1:22" x14ac:dyDescent="0.25">
      <c r="U7" s="7">
        <f t="shared" si="0"/>
        <v>42569</v>
      </c>
    </row>
    <row r="8" spans="1:22" x14ac:dyDescent="0.25">
      <c r="U8" s="7">
        <f t="shared" si="0"/>
        <v>42576</v>
      </c>
    </row>
    <row r="9" spans="1:22" x14ac:dyDescent="0.25">
      <c r="U9" s="7">
        <f t="shared" si="0"/>
        <v>42583</v>
      </c>
    </row>
    <row r="10" spans="1:22" x14ac:dyDescent="0.25">
      <c r="U10" s="7">
        <f t="shared" si="0"/>
        <v>42590</v>
      </c>
    </row>
    <row r="11" spans="1:22" x14ac:dyDescent="0.25">
      <c r="A11" s="12" t="s">
        <v>86</v>
      </c>
      <c r="B11" s="39">
        <v>42569</v>
      </c>
      <c r="C11" s="5" t="s">
        <v>95</v>
      </c>
      <c r="D11" s="33">
        <v>0.5</v>
      </c>
      <c r="U11" s="7">
        <f t="shared" si="0"/>
        <v>42597</v>
      </c>
    </row>
    <row r="12" spans="1:22" s="29" customFormat="1" x14ac:dyDescent="0.25">
      <c r="A12" s="19" t="s">
        <v>47</v>
      </c>
      <c r="B12" s="19" t="s">
        <v>53</v>
      </c>
      <c r="C12" s="19" t="s">
        <v>54</v>
      </c>
      <c r="D12" s="19" t="s">
        <v>56</v>
      </c>
      <c r="E12" s="19" t="s">
        <v>83</v>
      </c>
      <c r="J12" s="29" t="s">
        <v>87</v>
      </c>
      <c r="K12" s="29" t="str">
        <f>A12</f>
        <v>Monday</v>
      </c>
      <c r="U12" s="7">
        <f t="shared" si="0"/>
        <v>42604</v>
      </c>
      <c r="V12" s="30"/>
    </row>
    <row r="13" spans="1:22" s="16" customFormat="1" x14ac:dyDescent="0.25">
      <c r="A13" s="15" t="s">
        <v>39</v>
      </c>
      <c r="B13" s="17">
        <f>D11</f>
        <v>0.5</v>
      </c>
      <c r="C13" s="20">
        <f>B13</f>
        <v>0.5</v>
      </c>
      <c r="D13" s="15">
        <f ca="1">' Data'!I13</f>
        <v>5.0128416356307692</v>
      </c>
      <c r="E13" s="15">
        <f ca="1">' Data'!O13</f>
        <v>5.0128416356307692</v>
      </c>
      <c r="I13" s="29" t="s">
        <v>88</v>
      </c>
      <c r="J13" s="29" t="s">
        <v>56</v>
      </c>
      <c r="K13" s="29" t="s">
        <v>91</v>
      </c>
      <c r="L13" s="29" t="s">
        <v>92</v>
      </c>
      <c r="M13" s="29" t="s">
        <v>93</v>
      </c>
      <c r="N13" s="29" t="s">
        <v>98</v>
      </c>
      <c r="O13" s="29" t="s">
        <v>94</v>
      </c>
      <c r="U13" s="7">
        <f t="shared" si="0"/>
        <v>42611</v>
      </c>
    </row>
    <row r="14" spans="1:22" x14ac:dyDescent="0.25">
      <c r="A14" s="34" t="s">
        <v>99</v>
      </c>
      <c r="B14" s="17">
        <f>' Data'!B14</f>
        <v>0.51249999999999996</v>
      </c>
      <c r="C14" s="20">
        <f>' Data'!C14</f>
        <v>0.5234375</v>
      </c>
      <c r="D14" s="15">
        <f ca="1">' Data'!I14</f>
        <v>5.1823385990769228</v>
      </c>
      <c r="E14" s="15">
        <f ca="1">' Data'!O14</f>
        <v>5.3306484420923077</v>
      </c>
      <c r="H14" s="16" t="str">
        <f>$A$1</f>
        <v>Bird Sanctuary</v>
      </c>
      <c r="I14" s="37">
        <f>COUNTIF($A$14:$A$19,A14)</f>
        <v>1</v>
      </c>
      <c r="J14" s="37">
        <f ca="1">ROUND(VLOOKUP($H14,$A$12:$E$20,4,FALSE),1)</f>
        <v>5.2</v>
      </c>
      <c r="K14" s="37">
        <f ca="1">ROUND(VLOOKUP($H14,$A$12:$E$20,5,FALSE),1)</f>
        <v>5.3</v>
      </c>
      <c r="L14" s="38" t="str">
        <f ca="1">IF(J14&lt;Sights!D12,"N","Y")</f>
        <v>Y</v>
      </c>
      <c r="M14" s="38" t="str">
        <f ca="1">IF(K14&lt;Sights!D12,"N","Y")</f>
        <v>Y</v>
      </c>
      <c r="N14" s="38" t="str">
        <f ca="1">IF(J14&lt;Sights!$E12,"Y","N")</f>
        <v>Y</v>
      </c>
      <c r="O14" s="38" t="str">
        <f ca="1">IF(K14&lt;Sights!$E12,"Y","N")</f>
        <v>Y</v>
      </c>
      <c r="U14" s="7">
        <f t="shared" si="0"/>
        <v>42618</v>
      </c>
    </row>
    <row r="15" spans="1:22" x14ac:dyDescent="0.25">
      <c r="A15" s="35" t="s">
        <v>38</v>
      </c>
      <c r="B15" s="17">
        <f>' Data'!B15</f>
        <v>0.55885416666666665</v>
      </c>
      <c r="C15" s="20">
        <f>' Data'!C15</f>
        <v>0.5697916666666667</v>
      </c>
      <c r="D15" s="15">
        <f ca="1">' Data'!I15</f>
        <v>5.1417579768761907</v>
      </c>
      <c r="E15" s="15">
        <f ca="1">' Data'!O15</f>
        <v>4.9581362664761901</v>
      </c>
      <c r="H15" s="16" t="str">
        <f>$A$2</f>
        <v>Seal Flats</v>
      </c>
      <c r="I15" s="37">
        <f t="shared" ref="I15:I19" si="1">COUNTIF($A$14:$A$19,A15)</f>
        <v>1</v>
      </c>
      <c r="J15" s="37">
        <f t="shared" ref="J15:J19" ca="1" si="2">ROUND(VLOOKUP($H15,$A$12:$E$20,4,FALSE),1)</f>
        <v>2.6</v>
      </c>
      <c r="K15" s="37">
        <f t="shared" ref="K15:K19" ca="1" si="3">ROUND(VLOOKUP($H15,$A$12:$E$20,5,FALSE),1)</f>
        <v>2.4</v>
      </c>
      <c r="L15" s="38" t="str">
        <f ca="1">IF(J15&lt;Sights!D13,"N","Y")</f>
        <v>Y</v>
      </c>
      <c r="M15" s="38" t="str">
        <f ca="1">IF(K15&lt;Sights!D13,"N","Y")</f>
        <v>Y</v>
      </c>
      <c r="N15" s="38" t="str">
        <f ca="1">IF(J15&lt;Sights!$E13,"Y","N")</f>
        <v>Y</v>
      </c>
      <c r="O15" s="38" t="str">
        <f ca="1">IF(K15&lt;Sights!$E13,"Y","N")</f>
        <v>Y</v>
      </c>
    </row>
    <row r="16" spans="1:22" x14ac:dyDescent="0.25">
      <c r="A16" s="35" t="s">
        <v>37</v>
      </c>
      <c r="B16" s="17">
        <f>' Data'!B16</f>
        <v>0.58229166666666665</v>
      </c>
      <c r="C16" s="20">
        <f>' Data'!C16</f>
        <v>0.59479166666666661</v>
      </c>
      <c r="D16" s="15">
        <f ca="1">' Data'!I16</f>
        <v>4.7482828831619042</v>
      </c>
      <c r="E16" s="15">
        <f ca="1">' Data'!O16</f>
        <v>4.53842949984762</v>
      </c>
      <c r="H16" s="16" t="str">
        <f>$A$3</f>
        <v>Upton Manor</v>
      </c>
      <c r="I16" s="37">
        <f t="shared" si="1"/>
        <v>1</v>
      </c>
      <c r="J16" s="37">
        <f t="shared" ca="1" si="2"/>
        <v>4.7</v>
      </c>
      <c r="K16" s="37">
        <f t="shared" ca="1" si="3"/>
        <v>4.5</v>
      </c>
      <c r="L16" s="38" t="str">
        <f ca="1">IF(J16&lt;Sights!D14,"N","Y")</f>
        <v>Y</v>
      </c>
      <c r="M16" s="38" t="str">
        <f ca="1">IF(K16&lt;Sights!D14,"N","Y")</f>
        <v>Y</v>
      </c>
      <c r="N16" s="38" t="str">
        <f ca="1">IF(J16&lt;Sights!$E14,"Y","N")</f>
        <v>Y</v>
      </c>
      <c r="O16" s="38" t="str">
        <f ca="1">IF(K16&lt;Sights!$E14,"Y","N")</f>
        <v>Y</v>
      </c>
    </row>
    <row r="17" spans="1:32" x14ac:dyDescent="0.25">
      <c r="A17" s="35" t="s">
        <v>96</v>
      </c>
      <c r="B17" s="17">
        <f>' Data'!B17</f>
        <v>0.6177083333333333</v>
      </c>
      <c r="C17" s="20">
        <f>' Data'!C17</f>
        <v>0.62864583333333335</v>
      </c>
      <c r="D17" s="15">
        <f ca="1">' Data'!I17</f>
        <v>4.1536982971047625</v>
      </c>
      <c r="E17" s="15">
        <f ca="1">' Data'!O17</f>
        <v>3.9700765867047609</v>
      </c>
      <c r="H17" s="16" t="str">
        <f>$A$4</f>
        <v>Fingals Cave</v>
      </c>
      <c r="I17" s="37">
        <f t="shared" si="1"/>
        <v>1</v>
      </c>
      <c r="J17" s="37">
        <f t="shared" ca="1" si="2"/>
        <v>4.2</v>
      </c>
      <c r="K17" s="37">
        <f t="shared" ca="1" si="3"/>
        <v>4</v>
      </c>
      <c r="L17" s="38" t="str">
        <f ca="1">IF(J17&lt;Sights!D15,"N","Y")</f>
        <v>Y</v>
      </c>
      <c r="M17" s="38" t="str">
        <f ca="1">IF(K17&lt;Sights!D15,"N","Y")</f>
        <v>Y</v>
      </c>
      <c r="N17" s="38" t="str">
        <f ca="1">IF(J17&lt;Sights!$E15,"Y","N")</f>
        <v>Y</v>
      </c>
      <c r="O17" s="38" t="str">
        <f ca="1">IF(K17&lt;Sights!$E15,"Y","N")</f>
        <v>Y</v>
      </c>
    </row>
    <row r="18" spans="1:32" x14ac:dyDescent="0.25">
      <c r="A18" s="35" t="s">
        <v>55</v>
      </c>
      <c r="B18" s="17">
        <f>' Data'!B18</f>
        <v>0.66197916666666667</v>
      </c>
      <c r="C18" s="20">
        <f>' Data'!C18</f>
        <v>0.6723958333333333</v>
      </c>
      <c r="D18" s="15">
        <f ca="1">' Data'!I18</f>
        <v>3.4104675645333331</v>
      </c>
      <c r="E18" s="15">
        <f ca="1">' Data'!O18</f>
        <v>3.2355897451047624</v>
      </c>
      <c r="H18" s="16" t="str">
        <f>$A$5</f>
        <v>Matildas Secret</v>
      </c>
      <c r="I18" s="37">
        <f t="shared" si="1"/>
        <v>1</v>
      </c>
      <c r="J18" s="37">
        <f t="shared" ca="1" si="2"/>
        <v>3.4</v>
      </c>
      <c r="K18" s="37">
        <f t="shared" ca="1" si="3"/>
        <v>3.2</v>
      </c>
      <c r="L18" s="38" t="str">
        <f ca="1">IF(J18&lt;Sights!D16,"N","Y")</f>
        <v>Y</v>
      </c>
      <c r="M18" s="38" t="str">
        <f ca="1">IF(K18&lt;Sights!D16,"N","Y")</f>
        <v>Y</v>
      </c>
      <c r="N18" s="38" t="str">
        <f ca="1">IF(J18&lt;Sights!$E16,"Y","N")</f>
        <v>Y</v>
      </c>
      <c r="O18" s="38" t="str">
        <f ca="1">IF(K18&lt;Sights!$E16,"Y","N")</f>
        <v>Y</v>
      </c>
    </row>
    <row r="19" spans="1:32" x14ac:dyDescent="0.25">
      <c r="A19" s="35" t="s">
        <v>36</v>
      </c>
      <c r="B19" s="17">
        <f>' Data'!B19</f>
        <v>0.70781249999999996</v>
      </c>
      <c r="C19" s="20">
        <f>' Data'!C19</f>
        <v>0.72135416666666663</v>
      </c>
      <c r="D19" s="15">
        <f ca="1">' Data'!I19</f>
        <v>2.6410051590476193</v>
      </c>
      <c r="E19" s="15">
        <f ca="1">' Data'!O19</f>
        <v>2.4136639937904767</v>
      </c>
      <c r="H19" s="16" t="str">
        <f>$A$6</f>
        <v>Wilson Falls</v>
      </c>
      <c r="I19" s="37">
        <f t="shared" si="1"/>
        <v>1</v>
      </c>
      <c r="J19" s="37">
        <f t="shared" ca="1" si="2"/>
        <v>5.0999999999999996</v>
      </c>
      <c r="K19" s="37">
        <f t="shared" ca="1" si="3"/>
        <v>5</v>
      </c>
      <c r="L19" s="38" t="str">
        <f ca="1">IF(J19&lt;Sights!D17,"N","Y")</f>
        <v>Y</v>
      </c>
      <c r="M19" s="38" t="str">
        <f ca="1">IF(K19&lt;Sights!D17,"N","Y")</f>
        <v>Y</v>
      </c>
      <c r="N19" s="38" t="str">
        <f ca="1">IF(J19&lt;Sights!$E17,"Y","N")</f>
        <v>Y</v>
      </c>
      <c r="O19" s="38" t="str">
        <f ca="1">IF(K19&lt;Sights!$E17,"Y","N")</f>
        <v>Y</v>
      </c>
    </row>
    <row r="20" spans="1:32" x14ac:dyDescent="0.25">
      <c r="A20" s="12" t="s">
        <v>39</v>
      </c>
      <c r="B20" s="17">
        <f>' Data'!B20</f>
        <v>0.73385416666666659</v>
      </c>
      <c r="C20" s="20">
        <f>' Data'!C20</f>
        <v>0.73385416666666659</v>
      </c>
      <c r="D20" s="15">
        <f ca="1">' Data'!I20</f>
        <v>2.2038106104761916</v>
      </c>
      <c r="E20" s="15">
        <f ca="1">' Data'!O20</f>
        <v>2.2038106104761916</v>
      </c>
    </row>
    <row r="22" spans="1:32" x14ac:dyDescent="0.25">
      <c r="B22" s="22">
        <f>B11+2</f>
        <v>42571</v>
      </c>
      <c r="C22" s="5" t="s">
        <v>95</v>
      </c>
      <c r="D22" s="36">
        <v>0.375</v>
      </c>
    </row>
    <row r="23" spans="1:32" x14ac:dyDescent="0.25">
      <c r="A23" s="19" t="s">
        <v>49</v>
      </c>
      <c r="B23" s="19" t="s">
        <v>53</v>
      </c>
      <c r="C23" s="19" t="s">
        <v>54</v>
      </c>
      <c r="D23" s="19" t="s">
        <v>56</v>
      </c>
      <c r="E23" s="19" t="s">
        <v>83</v>
      </c>
      <c r="F23" s="29"/>
      <c r="G23" s="29"/>
      <c r="H23" s="29"/>
      <c r="I23" s="29"/>
      <c r="J23" s="29" t="s">
        <v>87</v>
      </c>
      <c r="K23" s="29" t="str">
        <f>A23</f>
        <v>Wednesday</v>
      </c>
      <c r="L23" s="19"/>
      <c r="M23" s="19"/>
      <c r="N23" s="19"/>
      <c r="O23" s="19"/>
      <c r="P23" s="19"/>
      <c r="Q23" s="19"/>
      <c r="R23" s="19">
        <f t="shared" ref="R23:AF23" si="4">IF(R18="Y",1.5+0.7*COS(R19),1.2+COS(R19))</f>
        <v>2.2000000000000002</v>
      </c>
      <c r="S23" s="19">
        <f t="shared" si="4"/>
        <v>2.2000000000000002</v>
      </c>
      <c r="T23" s="19">
        <f t="shared" si="4"/>
        <v>2.2000000000000002</v>
      </c>
      <c r="U23" s="19">
        <f t="shared" si="4"/>
        <v>2.2000000000000002</v>
      </c>
      <c r="V23" s="19">
        <f t="shared" si="4"/>
        <v>2.2000000000000002</v>
      </c>
      <c r="W23" s="19">
        <f t="shared" si="4"/>
        <v>2.2000000000000002</v>
      </c>
      <c r="X23" s="19">
        <f t="shared" si="4"/>
        <v>2.2000000000000002</v>
      </c>
      <c r="Y23" s="19">
        <f t="shared" si="4"/>
        <v>2.2000000000000002</v>
      </c>
      <c r="Z23" s="19">
        <f t="shared" si="4"/>
        <v>2.2000000000000002</v>
      </c>
      <c r="AA23" s="19">
        <f t="shared" si="4"/>
        <v>2.2000000000000002</v>
      </c>
      <c r="AB23" s="19">
        <f t="shared" si="4"/>
        <v>2.2000000000000002</v>
      </c>
      <c r="AC23" s="19">
        <f t="shared" si="4"/>
        <v>2.2000000000000002</v>
      </c>
      <c r="AD23" s="19">
        <f t="shared" si="4"/>
        <v>2.2000000000000002</v>
      </c>
      <c r="AE23" s="19">
        <f t="shared" si="4"/>
        <v>2.2000000000000002</v>
      </c>
      <c r="AF23" s="19">
        <f t="shared" si="4"/>
        <v>2.2000000000000002</v>
      </c>
    </row>
    <row r="24" spans="1:32" x14ac:dyDescent="0.25">
      <c r="A24" s="15" t="s">
        <v>39</v>
      </c>
      <c r="B24" s="17">
        <f>D22</f>
        <v>0.375</v>
      </c>
      <c r="C24" s="20">
        <f>B24</f>
        <v>0.375</v>
      </c>
      <c r="D24" s="15">
        <f ca="1">' Data'!I24</f>
        <v>2.4755649060000007</v>
      </c>
      <c r="E24" s="15">
        <f ca="1">' Data'!O24</f>
        <v>2.4755649060000007</v>
      </c>
      <c r="F24" s="16"/>
      <c r="G24" s="16"/>
      <c r="H24" s="16"/>
      <c r="I24" s="29" t="s">
        <v>88</v>
      </c>
      <c r="J24" s="29" t="s">
        <v>56</v>
      </c>
      <c r="K24" s="29" t="s">
        <v>91</v>
      </c>
      <c r="L24" s="29" t="s">
        <v>92</v>
      </c>
      <c r="M24" s="29" t="s">
        <v>93</v>
      </c>
      <c r="N24" s="29" t="s">
        <v>98</v>
      </c>
      <c r="O24" s="29" t="s">
        <v>94</v>
      </c>
    </row>
    <row r="25" spans="1:32" x14ac:dyDescent="0.25">
      <c r="A25" s="34" t="s">
        <v>36</v>
      </c>
      <c r="B25" s="17">
        <f>' Data'!B25</f>
        <v>0.38750000000000001</v>
      </c>
      <c r="C25" s="20">
        <f>' Data'!C25</f>
        <v>0.40104166666666669</v>
      </c>
      <c r="D25" s="15">
        <f ca="1">' Data'!I25</f>
        <v>2.6957475126923089</v>
      </c>
      <c r="E25" s="15">
        <f ca="1">' Data'!O25</f>
        <v>2.9342786699423087</v>
      </c>
      <c r="H25" s="16" t="str">
        <f>$A$1</f>
        <v>Bird Sanctuary</v>
      </c>
      <c r="I25" s="37">
        <f>COUNTIF(A25:A30,A25)</f>
        <v>1</v>
      </c>
      <c r="J25" s="37">
        <f ca="1">ROUND(VLOOKUP($H25,$A$23:$E$31,4,FALSE),1)</f>
        <v>4.3</v>
      </c>
      <c r="K25" s="37">
        <f ca="1">ROUND(VLOOKUP($H25,$A$23:$E$31,5,FALSE),1)</f>
        <v>4.5</v>
      </c>
      <c r="L25" s="38" t="str">
        <f ca="1">IF(AND(J25&gt;=Sights!D12,Selection!J25&lt;=Sights!E12),"Y","N")</f>
        <v>Y</v>
      </c>
      <c r="M25" s="38" t="str">
        <f ca="1">IF(AND(K25&gt;=Sights!D12,Selection!K25&lt;=Sights!E12),"Y","N")</f>
        <v>Y</v>
      </c>
      <c r="N25" s="38" t="str">
        <f ca="1">IF(J25&lt;Sights!$E12,"Y","N")</f>
        <v>Y</v>
      </c>
      <c r="O25" s="38" t="str">
        <f ca="1">IF(K25&lt;Sights!$E12,"Y","N")</f>
        <v>Y</v>
      </c>
    </row>
    <row r="26" spans="1:32" x14ac:dyDescent="0.25">
      <c r="A26" s="35" t="s">
        <v>55</v>
      </c>
      <c r="B26" s="17">
        <f>' Data'!B26</f>
        <v>0.43645833333333334</v>
      </c>
      <c r="C26" s="20">
        <f>' Data'!C26</f>
        <v>0.44687500000000002</v>
      </c>
      <c r="D26" s="15">
        <f ca="1">' Data'!I26</f>
        <v>3.558129388903847</v>
      </c>
      <c r="E26" s="15">
        <f ca="1">' Data'!O26</f>
        <v>3.7416148944807706</v>
      </c>
      <c r="H26" s="16" t="str">
        <f>$A$2</f>
        <v>Seal Flats</v>
      </c>
      <c r="I26" s="37">
        <f t="shared" ref="I26:I30" si="5">COUNTIF(A26:A31,A26)</f>
        <v>1</v>
      </c>
      <c r="J26" s="37">
        <f t="shared" ref="J26:J30" ca="1" si="6">ROUND(VLOOKUP($H26,$A$23:$E$31,4,FALSE),1)</f>
        <v>2.7</v>
      </c>
      <c r="K26" s="37">
        <f t="shared" ref="K26:K30" ca="1" si="7">ROUND(VLOOKUP($H26,$A$23:$E$31,5,FALSE),1)</f>
        <v>2.9</v>
      </c>
      <c r="L26" s="38" t="str">
        <f ca="1">IF(AND(J26&gt;=Sights!D13,Selection!J26&lt;=Sights!E13),"Y","N")</f>
        <v>Y</v>
      </c>
      <c r="M26" s="38" t="str">
        <f ca="1">IF(AND(K26&gt;=Sights!D13,Selection!K26&lt;=Sights!E13),"Y","N")</f>
        <v>Y</v>
      </c>
      <c r="N26" s="38" t="str">
        <f ca="1">IF(J26&lt;Sights!$E13,"Y","N")</f>
        <v>Y</v>
      </c>
      <c r="O26" s="38" t="str">
        <f ca="1">IF(K26&lt;Sights!$E13,"Y","N")</f>
        <v>Y</v>
      </c>
    </row>
    <row r="27" spans="1:32" x14ac:dyDescent="0.25">
      <c r="A27" s="35" t="s">
        <v>99</v>
      </c>
      <c r="B27" s="17">
        <f>' Data'!B27</f>
        <v>0.47812500000000002</v>
      </c>
      <c r="C27" s="20">
        <f>' Data'!C27</f>
        <v>0.48906250000000001</v>
      </c>
      <c r="D27" s="15">
        <f ca="1">' Data'!I27</f>
        <v>4.2920714112115395</v>
      </c>
      <c r="E27" s="15">
        <f ca="1">' Data'!O27</f>
        <v>4.4847311920673087</v>
      </c>
      <c r="H27" s="16" t="str">
        <f>$A$3</f>
        <v>Upton Manor</v>
      </c>
      <c r="I27" s="37">
        <f t="shared" si="5"/>
        <v>1</v>
      </c>
      <c r="J27" s="37">
        <f t="shared" ca="1" si="6"/>
        <v>4.9000000000000004</v>
      </c>
      <c r="K27" s="37">
        <f t="shared" ca="1" si="7"/>
        <v>5.0999999999999996</v>
      </c>
      <c r="L27" s="38" t="str">
        <f ca="1">IF(AND(J27&gt;=Sights!D14,Selection!J27&lt;=Sights!E14),"Y","N")</f>
        <v>Y</v>
      </c>
      <c r="M27" s="38" t="str">
        <f ca="1">IF(AND(K27&gt;=Sights!D14,Selection!K27&lt;=Sights!E14),"Y","N")</f>
        <v>Y</v>
      </c>
      <c r="N27" s="38" t="str">
        <f ca="1">IF(J27&lt;Sights!$E14,"Y","N")</f>
        <v>Y</v>
      </c>
      <c r="O27" s="38" t="str">
        <f ca="1">IF(K27&lt;Sights!$E14,"Y","N")</f>
        <v>Y</v>
      </c>
    </row>
    <row r="28" spans="1:32" x14ac:dyDescent="0.25">
      <c r="A28" s="35" t="s">
        <v>37</v>
      </c>
      <c r="B28" s="17">
        <f>' Data'!B28</f>
        <v>0.50989583333333333</v>
      </c>
      <c r="C28" s="20">
        <f>' Data'!C28</f>
        <v>0.52239583333333328</v>
      </c>
      <c r="D28" s="15">
        <f ca="1">' Data'!I28</f>
        <v>4.851702203221155</v>
      </c>
      <c r="E28" s="15">
        <f ca="1">' Data'!O28</f>
        <v>5.0718848099134615</v>
      </c>
      <c r="H28" s="16" t="str">
        <f>$A$4</f>
        <v>Fingals Cave</v>
      </c>
      <c r="I28" s="37">
        <f t="shared" si="5"/>
        <v>1</v>
      </c>
      <c r="J28" s="37">
        <f t="shared" ca="1" si="6"/>
        <v>5.5</v>
      </c>
      <c r="K28" s="37">
        <f t="shared" ca="1" si="7"/>
        <v>5.7</v>
      </c>
      <c r="L28" s="38" t="str">
        <f ca="1">IF(AND(J28&gt;=Sights!D15,Selection!J28&lt;=Sights!E15),"Y","N")</f>
        <v>Y</v>
      </c>
      <c r="M28" s="38" t="str">
        <f ca="1">IF(AND(K28&gt;=Sights!D15,Selection!K28&lt;=Sights!E15),"Y","N")</f>
        <v>Y</v>
      </c>
      <c r="N28" s="38" t="str">
        <f ca="1">IF(J28&lt;Sights!$E15,"Y","N")</f>
        <v>Y</v>
      </c>
      <c r="O28" s="38" t="str">
        <f ca="1">IF(K28&lt;Sights!$E15,"Y","N")</f>
        <v>Y</v>
      </c>
    </row>
    <row r="29" spans="1:32" x14ac:dyDescent="0.25">
      <c r="A29" s="35" t="s">
        <v>96</v>
      </c>
      <c r="B29" s="17">
        <f>' Data'!B29</f>
        <v>0.54531249999999998</v>
      </c>
      <c r="C29" s="20">
        <f>' Data'!C29</f>
        <v>0.55625000000000002</v>
      </c>
      <c r="D29" s="15">
        <f ca="1">' Data'!I29</f>
        <v>5.4755529221826933</v>
      </c>
      <c r="E29" s="15">
        <f ca="1">' Data'!O29</f>
        <v>5.6682127030384635</v>
      </c>
      <c r="H29" s="16" t="str">
        <f>$A$5</f>
        <v>Matildas Secret</v>
      </c>
      <c r="I29" s="37">
        <f t="shared" si="5"/>
        <v>1</v>
      </c>
      <c r="J29" s="37">
        <f t="shared" ca="1" si="6"/>
        <v>3.6</v>
      </c>
      <c r="K29" s="37">
        <f t="shared" ca="1" si="7"/>
        <v>3.7</v>
      </c>
      <c r="L29" s="38" t="str">
        <f ca="1">IF(AND(J29&gt;=Sights!D16,Selection!J29&lt;=Sights!E16),"Y","N")</f>
        <v>Y</v>
      </c>
      <c r="M29" s="38" t="str">
        <f ca="1">IF(AND(K29&gt;=Sights!D16,Selection!K29&lt;=Sights!E16),"Y","N")</f>
        <v>Y</v>
      </c>
      <c r="N29" s="38" t="str">
        <f ca="1">IF(J29&lt;Sights!$E16,"Y","N")</f>
        <v>Y</v>
      </c>
      <c r="O29" s="38" t="str">
        <f ca="1">IF(K29&lt;Sights!$E16,"Y","N")</f>
        <v>Y</v>
      </c>
    </row>
    <row r="30" spans="1:32" x14ac:dyDescent="0.25">
      <c r="A30" s="35" t="s">
        <v>38</v>
      </c>
      <c r="B30" s="17">
        <f>' Data'!B30</f>
        <v>0.59375</v>
      </c>
      <c r="C30" s="20">
        <f>' Data'!C30</f>
        <v>0.60468750000000004</v>
      </c>
      <c r="D30" s="15">
        <f ca="1">' Data'!I30</f>
        <v>6.3287605231153865</v>
      </c>
      <c r="E30" s="15">
        <f ca="1">' Data'!O30</f>
        <v>6.5214203039711567</v>
      </c>
      <c r="H30" s="16" t="str">
        <f>$A$6</f>
        <v>Wilson Falls</v>
      </c>
      <c r="I30" s="37">
        <f t="shared" si="5"/>
        <v>1</v>
      </c>
      <c r="J30" s="37">
        <f t="shared" ca="1" si="6"/>
        <v>6.3</v>
      </c>
      <c r="K30" s="37">
        <f t="shared" ca="1" si="7"/>
        <v>6.5</v>
      </c>
      <c r="L30" s="38" t="str">
        <f ca="1">IF(AND(J30&gt;=Sights!D17,Selection!J30&lt;=Sights!E17),"Y","N")</f>
        <v>Y</v>
      </c>
      <c r="M30" s="38" t="str">
        <f ca="1">IF(AND(K30&gt;=Sights!D17,Selection!K30&lt;=Sights!E17),"Y","N")</f>
        <v>Y</v>
      </c>
      <c r="N30" s="38" t="str">
        <f ca="1">IF(J30&lt;Sights!$E17,"Y","N")</f>
        <v>Y</v>
      </c>
      <c r="O30" s="38" t="str">
        <f ca="1">IF(K30&lt;Sights!$E17,"Y","N")</f>
        <v>Y</v>
      </c>
    </row>
    <row r="31" spans="1:32" x14ac:dyDescent="0.25">
      <c r="A31" s="12" t="s">
        <v>39</v>
      </c>
      <c r="B31" s="17">
        <f>' Data'!B31</f>
        <v>0.62343750000000009</v>
      </c>
      <c r="C31" s="20">
        <f>' Data'!C31</f>
        <v>0.62343750000000009</v>
      </c>
      <c r="D31" s="15">
        <f ca="1">' Data'!I31</f>
        <v>6.3109944662261874</v>
      </c>
      <c r="E31" s="15">
        <f ca="1">' Data'!O31</f>
        <v>6.3109944662261874</v>
      </c>
    </row>
    <row r="33" spans="1:15" x14ac:dyDescent="0.25">
      <c r="B33" s="22">
        <f>B22+2</f>
        <v>42573</v>
      </c>
      <c r="C33" s="5" t="s">
        <v>95</v>
      </c>
      <c r="D33" s="36">
        <v>0.375</v>
      </c>
    </row>
    <row r="34" spans="1:15" x14ac:dyDescent="0.25">
      <c r="A34" s="19" t="s">
        <v>51</v>
      </c>
      <c r="B34" s="19" t="s">
        <v>53</v>
      </c>
      <c r="C34" s="19" t="s">
        <v>54</v>
      </c>
      <c r="D34" s="19" t="s">
        <v>56</v>
      </c>
      <c r="E34" s="19" t="s">
        <v>83</v>
      </c>
      <c r="F34" s="29"/>
      <c r="G34" s="29"/>
      <c r="H34" s="29"/>
      <c r="I34" s="29"/>
      <c r="J34" s="29" t="s">
        <v>87</v>
      </c>
      <c r="K34" s="29" t="str">
        <f>A34</f>
        <v>Friday</v>
      </c>
      <c r="L34" s="29"/>
      <c r="M34" s="29"/>
      <c r="N34" s="29"/>
      <c r="O34" s="29"/>
    </row>
    <row r="35" spans="1:15" x14ac:dyDescent="0.25">
      <c r="A35" s="15" t="s">
        <v>39</v>
      </c>
      <c r="B35" s="17">
        <f>D33</f>
        <v>0.375</v>
      </c>
      <c r="C35" s="20">
        <f>B35</f>
        <v>0.375</v>
      </c>
      <c r="D35" s="15">
        <f ca="1">' Data'!I35</f>
        <v>2.2951614754136989</v>
      </c>
      <c r="E35" s="15">
        <f ca="1">' Data'!O35</f>
        <v>2.2951614754136989</v>
      </c>
      <c r="F35" s="16"/>
      <c r="G35" s="16"/>
      <c r="H35" s="16"/>
      <c r="I35" s="29" t="s">
        <v>88</v>
      </c>
      <c r="J35" s="29" t="s">
        <v>56</v>
      </c>
      <c r="K35" s="29" t="s">
        <v>91</v>
      </c>
      <c r="L35" s="29" t="s">
        <v>92</v>
      </c>
      <c r="M35" s="29" t="s">
        <v>93</v>
      </c>
      <c r="N35" s="29" t="s">
        <v>98</v>
      </c>
      <c r="O35" s="29" t="s">
        <v>94</v>
      </c>
    </row>
    <row r="36" spans="1:15" x14ac:dyDescent="0.25">
      <c r="A36" s="34" t="s">
        <v>55</v>
      </c>
      <c r="B36" s="17">
        <f>' Data'!B36</f>
        <v>0.39166666666666666</v>
      </c>
      <c r="C36" s="20">
        <f>' Data'!C36</f>
        <v>0.40208333333333335</v>
      </c>
      <c r="D36" s="15">
        <f ca="1">' Data'!I36</f>
        <v>1.9196914779561638</v>
      </c>
      <c r="E36" s="15">
        <f ca="1">' Data'!O36</f>
        <v>1.4471338081948717</v>
      </c>
      <c r="H36" s="16" t="str">
        <f>$A$1</f>
        <v>Bird Sanctuary</v>
      </c>
      <c r="I36" s="37">
        <f>COUNTIF(A36:A41,A36)</f>
        <v>1</v>
      </c>
      <c r="J36" s="37">
        <f ca="1">ROUND(VLOOKUP($H36,$A$34:$E$42,4,FALSE),1)</f>
        <v>4.7</v>
      </c>
      <c r="K36" s="37">
        <f ca="1">ROUND(VLOOKUP($H36,$A$34:$E$42,5,FALSE),1)</f>
        <v>4.9000000000000004</v>
      </c>
      <c r="L36" s="38" t="str">
        <f ca="1">IF(AND(J36&gt;=Sights!$D12,Selection!J36&lt;=Sights!$E12),"Y","N")</f>
        <v>Y</v>
      </c>
      <c r="M36" s="38" t="str">
        <f ca="1">IF(AND(K36&gt;=Sights!$D12,Selection!K36&lt;=Sights!$E12),"Y","N")</f>
        <v>Y</v>
      </c>
      <c r="N36" s="38" t="str">
        <f ca="1">IF(J36&lt;Sights!$E12,"Y","N")</f>
        <v>Y</v>
      </c>
      <c r="O36" s="38" t="str">
        <f ca="1">IF(K36&lt;Sights!$E12,"Y","N")</f>
        <v>Y</v>
      </c>
    </row>
    <row r="37" spans="1:15" x14ac:dyDescent="0.25">
      <c r="A37" s="35" t="s">
        <v>36</v>
      </c>
      <c r="B37" s="17">
        <f>' Data'!B37</f>
        <v>0.4375</v>
      </c>
      <c r="C37" s="20">
        <f>' Data'!C37</f>
        <v>0.45104166666666667</v>
      </c>
      <c r="D37" s="15">
        <f ca="1">' Data'!I37</f>
        <v>2.2330925691641021</v>
      </c>
      <c r="E37" s="15">
        <f ca="1">' Data'!O37</f>
        <v>2.5336062130641022</v>
      </c>
      <c r="H37" s="16" t="str">
        <f>$A$2</f>
        <v>Seal Flats</v>
      </c>
      <c r="I37" s="37">
        <f t="shared" ref="I37:I41" si="8">COUNTIF(A37:A42,A37)</f>
        <v>1</v>
      </c>
      <c r="J37" s="37">
        <f t="shared" ref="J37:J41" ca="1" si="9">ROUND(VLOOKUP($H37,$A$34:$E$42,4,FALSE),1)</f>
        <v>2.2000000000000002</v>
      </c>
      <c r="K37" s="37">
        <f t="shared" ref="K37:K41" ca="1" si="10">ROUND(VLOOKUP($H37,$A$34:$E$42,5,FALSE),1)</f>
        <v>2.5</v>
      </c>
      <c r="L37" s="38" t="str">
        <f ca="1">IF(AND(J37&gt;=Sights!$D13,Selection!J37&lt;=Sights!$E13),"Y","N")</f>
        <v>Y</v>
      </c>
      <c r="M37" s="38" t="str">
        <f ca="1">IF(AND(K37&gt;=Sights!$D13,Selection!K37&lt;=Sights!$E13),"Y","N")</f>
        <v>Y</v>
      </c>
      <c r="N37" s="38" t="str">
        <f ca="1">IF(J37&lt;Sights!$E13,"Y","N")</f>
        <v>Y</v>
      </c>
      <c r="O37" s="38" t="str">
        <f ca="1">IF(K37&lt;Sights!$E13,"Y","N")</f>
        <v>Y</v>
      </c>
    </row>
    <row r="38" spans="1:15" x14ac:dyDescent="0.25">
      <c r="A38" s="35" t="s">
        <v>38</v>
      </c>
      <c r="B38" s="17">
        <f>' Data'!B38</f>
        <v>0.49062500000000003</v>
      </c>
      <c r="C38" s="20">
        <f>' Data'!C38</f>
        <v>0.50156250000000002</v>
      </c>
      <c r="D38" s="15">
        <f ca="1">' Data'!I38</f>
        <v>3.412030710617949</v>
      </c>
      <c r="E38" s="15">
        <f ca="1">' Data'!O38</f>
        <v>3.6547532691525637</v>
      </c>
      <c r="H38" s="16" t="str">
        <f>$A$3</f>
        <v>Upton Manor</v>
      </c>
      <c r="I38" s="37">
        <f t="shared" si="8"/>
        <v>1</v>
      </c>
      <c r="J38" s="37">
        <f t="shared" ca="1" si="9"/>
        <v>3.9</v>
      </c>
      <c r="K38" s="37">
        <f t="shared" ca="1" si="10"/>
        <v>4.2</v>
      </c>
      <c r="L38" s="38" t="str">
        <f ca="1">IF(AND(J38&gt;=Sights!$D14,Selection!J38&lt;=Sights!$E14),"Y","N")</f>
        <v>Y</v>
      </c>
      <c r="M38" s="38" t="str">
        <f ca="1">IF(AND(K38&gt;=Sights!$D14,Selection!K38&lt;=Sights!$E14),"Y","N")</f>
        <v>Y</v>
      </c>
      <c r="N38" s="38" t="str">
        <f ca="1">IF(J38&lt;Sights!$E14,"Y","N")</f>
        <v>Y</v>
      </c>
      <c r="O38" s="38" t="str">
        <f ca="1">IF(K38&lt;Sights!$E14,"Y","N")</f>
        <v>Y</v>
      </c>
    </row>
    <row r="39" spans="1:15" x14ac:dyDescent="0.25">
      <c r="A39" s="35" t="s">
        <v>37</v>
      </c>
      <c r="B39" s="17">
        <f>' Data'!B39</f>
        <v>0.51406249999999998</v>
      </c>
      <c r="C39" s="20">
        <f>' Data'!C39</f>
        <v>0.52656249999999993</v>
      </c>
      <c r="D39" s="15">
        <f ca="1">' Data'!I39</f>
        <v>3.9321504789064088</v>
      </c>
      <c r="E39" s="15">
        <f ca="1">' Data'!O39</f>
        <v>4.2095476886602547</v>
      </c>
      <c r="H39" s="16" t="str">
        <f>$A$4</f>
        <v>Fingals Cave</v>
      </c>
      <c r="I39" s="37">
        <f t="shared" si="8"/>
        <v>1</v>
      </c>
      <c r="J39" s="37">
        <f t="shared" ca="1" si="9"/>
        <v>5.2</v>
      </c>
      <c r="K39" s="37">
        <f t="shared" ca="1" si="10"/>
        <v>5.5</v>
      </c>
      <c r="L39" s="38" t="str">
        <f ca="1">IF(AND(J39&gt;=Sights!$D15,Selection!J39&lt;=Sights!$E15),"Y","N")</f>
        <v>Y</v>
      </c>
      <c r="M39" s="38" t="str">
        <f ca="1">IF(AND(K39&gt;=Sights!$D15,Selection!K39&lt;=Sights!$E15),"Y","N")</f>
        <v>Y</v>
      </c>
      <c r="N39" s="38" t="str">
        <f ca="1">IF(J39&lt;Sights!$E15,"Y","N")</f>
        <v>Y</v>
      </c>
      <c r="O39" s="38" t="str">
        <f ca="1">IF(K39&lt;Sights!$E15,"Y","N")</f>
        <v>Y</v>
      </c>
    </row>
    <row r="40" spans="1:15" x14ac:dyDescent="0.25">
      <c r="A40" s="35" t="s">
        <v>99</v>
      </c>
      <c r="B40" s="17">
        <f>' Data'!B40</f>
        <v>0.5473958333333333</v>
      </c>
      <c r="C40" s="20">
        <f>' Data'!C40</f>
        <v>0.55833333333333335</v>
      </c>
      <c r="D40" s="15">
        <f ca="1">' Data'!I40</f>
        <v>4.6718763715833322</v>
      </c>
      <c r="E40" s="15">
        <f ca="1">' Data'!O40</f>
        <v>4.9145989301179487</v>
      </c>
      <c r="H40" s="16" t="str">
        <f>$A$5</f>
        <v>Matildas Secret</v>
      </c>
      <c r="I40" s="37">
        <f t="shared" si="8"/>
        <v>1</v>
      </c>
      <c r="J40" s="37">
        <f t="shared" ca="1" si="9"/>
        <v>1.9</v>
      </c>
      <c r="K40" s="37">
        <f t="shared" ca="1" si="10"/>
        <v>1.4</v>
      </c>
      <c r="L40" s="38" t="str">
        <f ca="1">IF(AND(J40&gt;=Sights!$D16,Selection!J40&lt;=Sights!$E16),"Y","N")</f>
        <v>Y</v>
      </c>
      <c r="M40" s="38" t="str">
        <f ca="1">IF(AND(K40&gt;=Sights!$D16,Selection!K40&lt;=Sights!$E16),"Y","N")</f>
        <v>Y</v>
      </c>
      <c r="N40" s="38" t="str">
        <f ca="1">IF(J40&lt;Sights!$E16,"Y","N")</f>
        <v>Y</v>
      </c>
      <c r="O40" s="38" t="str">
        <f ca="1">IF(K40&lt;Sights!$E16,"Y","N")</f>
        <v>Y</v>
      </c>
    </row>
    <row r="41" spans="1:15" x14ac:dyDescent="0.25">
      <c r="A41" s="35" t="s">
        <v>96</v>
      </c>
      <c r="B41" s="17">
        <f>' Data'!B41</f>
        <v>0.57291666666666663</v>
      </c>
      <c r="C41" s="20">
        <f>' Data'!C41</f>
        <v>0.58385416666666667</v>
      </c>
      <c r="D41" s="15">
        <f ca="1">' Data'!I41</f>
        <v>5.238229008164101</v>
      </c>
      <c r="E41" s="15">
        <f ca="1">' Data'!O41</f>
        <v>5.4809515666987165</v>
      </c>
      <c r="H41" s="16" t="str">
        <f>$A$6</f>
        <v>Wilson Falls</v>
      </c>
      <c r="I41" s="37">
        <f t="shared" si="8"/>
        <v>1</v>
      </c>
      <c r="J41" s="37">
        <f t="shared" ca="1" si="9"/>
        <v>3.4</v>
      </c>
      <c r="K41" s="37">
        <f t="shared" ca="1" si="10"/>
        <v>3.7</v>
      </c>
      <c r="L41" s="38" t="str">
        <f ca="1">IF(AND(J41&gt;=Sights!$D17,Selection!J41&lt;=Sights!$E17),"Y","N")</f>
        <v>Y</v>
      </c>
      <c r="M41" s="38" t="str">
        <f ca="1">IF(AND(K41&gt;=Sights!$D17,Selection!K41&lt;=Sights!$E17),"Y","N")</f>
        <v>Y</v>
      </c>
      <c r="N41" s="38" t="str">
        <f ca="1">IF(J41&lt;Sights!$E17,"Y","N")</f>
        <v>Y</v>
      </c>
      <c r="O41" s="38" t="str">
        <f ca="1">IF(K41&lt;Sights!$E17,"Y","N")</f>
        <v>Y</v>
      </c>
    </row>
    <row r="42" spans="1:15" x14ac:dyDescent="0.25">
      <c r="A42" s="12" t="s">
        <v>39</v>
      </c>
      <c r="B42" s="17">
        <f>' Data'!B42</f>
        <v>0.5942708333333333</v>
      </c>
      <c r="C42" s="20">
        <f>' Data'!C42</f>
        <v>0.5942708333333333</v>
      </c>
      <c r="D42" s="15">
        <f ca="1">' Data'!I42</f>
        <v>5.7121159081602544</v>
      </c>
      <c r="E42" s="15">
        <f ca="1">' Data'!O42</f>
        <v>5.7121159081602544</v>
      </c>
    </row>
  </sheetData>
  <conditionalFormatting sqref="I14:I19">
    <cfRule type="cellIs" dxfId="27" priority="36" operator="notEqual">
      <formula>1</formula>
    </cfRule>
  </conditionalFormatting>
  <conditionalFormatting sqref="L14:O19">
    <cfRule type="cellIs" dxfId="26" priority="35" operator="equal">
      <formula>"N"</formula>
    </cfRule>
  </conditionalFormatting>
  <conditionalFormatting sqref="I25:I30">
    <cfRule type="cellIs" dxfId="25" priority="26" operator="notEqual">
      <formula>1</formula>
    </cfRule>
  </conditionalFormatting>
  <conditionalFormatting sqref="L25:O30">
    <cfRule type="cellIs" dxfId="24" priority="25" operator="equal">
      <formula>"N"</formula>
    </cfRule>
  </conditionalFormatting>
  <conditionalFormatting sqref="I36:I41">
    <cfRule type="cellIs" dxfId="23" priority="24" operator="notEqual">
      <formula>1</formula>
    </cfRule>
  </conditionalFormatting>
  <conditionalFormatting sqref="M36:O41">
    <cfRule type="cellIs" dxfId="22" priority="23" operator="equal">
      <formula>"N"</formula>
    </cfRule>
  </conditionalFormatting>
  <conditionalFormatting sqref="I14:I19">
    <cfRule type="cellIs" dxfId="21" priority="22" operator="notEqual">
      <formula>1</formula>
    </cfRule>
  </conditionalFormatting>
  <conditionalFormatting sqref="I14:I19">
    <cfRule type="cellIs" dxfId="20" priority="21" operator="notEqual">
      <formula>1</formula>
    </cfRule>
  </conditionalFormatting>
  <conditionalFormatting sqref="L25:O31">
    <cfRule type="cellIs" dxfId="19" priority="20" operator="equal">
      <formula>"N"</formula>
    </cfRule>
  </conditionalFormatting>
  <conditionalFormatting sqref="L25:O31">
    <cfRule type="cellIs" dxfId="18" priority="19" operator="equal">
      <formula>"N"</formula>
    </cfRule>
  </conditionalFormatting>
  <conditionalFormatting sqref="L25:O31">
    <cfRule type="cellIs" dxfId="17" priority="18" operator="equal">
      <formula>"N"</formula>
    </cfRule>
  </conditionalFormatting>
  <conditionalFormatting sqref="M25:M31">
    <cfRule type="cellIs" dxfId="16" priority="17" operator="equal">
      <formula>"N"</formula>
    </cfRule>
  </conditionalFormatting>
  <conditionalFormatting sqref="N25:N31 O25:O30">
    <cfRule type="cellIs" dxfId="15" priority="16" operator="equal">
      <formula>"N"</formula>
    </cfRule>
  </conditionalFormatting>
  <conditionalFormatting sqref="O25:O31">
    <cfRule type="cellIs" dxfId="14" priority="15" operator="equal">
      <formula>"N"</formula>
    </cfRule>
  </conditionalFormatting>
  <conditionalFormatting sqref="I25:I30">
    <cfRule type="cellIs" dxfId="13" priority="14" operator="notEqual">
      <formula>1</formula>
    </cfRule>
  </conditionalFormatting>
  <conditionalFormatting sqref="I25:I30">
    <cfRule type="cellIs" dxfId="12" priority="13" operator="notEqual">
      <formula>1</formula>
    </cfRule>
  </conditionalFormatting>
  <conditionalFormatting sqref="I25:I30">
    <cfRule type="cellIs" dxfId="11" priority="12" operator="notEqual">
      <formula>1</formula>
    </cfRule>
  </conditionalFormatting>
  <conditionalFormatting sqref="L36:M41">
    <cfRule type="cellIs" dxfId="10" priority="11" operator="equal">
      <formula>"N"</formula>
    </cfRule>
  </conditionalFormatting>
  <conditionalFormatting sqref="L36:M41">
    <cfRule type="cellIs" dxfId="9" priority="10" operator="equal">
      <formula>"N"</formula>
    </cfRule>
  </conditionalFormatting>
  <conditionalFormatting sqref="L36:M41">
    <cfRule type="cellIs" dxfId="8" priority="9" operator="equal">
      <formula>"N"</formula>
    </cfRule>
  </conditionalFormatting>
  <conditionalFormatting sqref="L36:M41">
    <cfRule type="cellIs" dxfId="7" priority="8" operator="equal">
      <formula>"N"</formula>
    </cfRule>
  </conditionalFormatting>
  <conditionalFormatting sqref="L36:O41">
    <cfRule type="cellIs" dxfId="6" priority="7" operator="equal">
      <formula>"N"</formula>
    </cfRule>
  </conditionalFormatting>
  <conditionalFormatting sqref="L36:O41">
    <cfRule type="cellIs" dxfId="5" priority="6" operator="equal">
      <formula>"N"</formula>
    </cfRule>
  </conditionalFormatting>
  <conditionalFormatting sqref="L36:O41">
    <cfRule type="cellIs" dxfId="4" priority="5" operator="equal">
      <formula>"N"</formula>
    </cfRule>
  </conditionalFormatting>
  <conditionalFormatting sqref="L36:O41">
    <cfRule type="cellIs" dxfId="3" priority="4" operator="equal">
      <formula>"N"</formula>
    </cfRule>
  </conditionalFormatting>
  <conditionalFormatting sqref="M36:M41">
    <cfRule type="cellIs" dxfId="2" priority="3" operator="equal">
      <formula>"N"</formula>
    </cfRule>
  </conditionalFormatting>
  <conditionalFormatting sqref="N36:O41">
    <cfRule type="cellIs" dxfId="1" priority="2" operator="equal">
      <formula>"N"</formula>
    </cfRule>
  </conditionalFormatting>
  <conditionalFormatting sqref="O36:O41">
    <cfRule type="cellIs" dxfId="0" priority="1" operator="equal">
      <formula>"N"</formula>
    </cfRule>
  </conditionalFormatting>
  <dataValidations count="5">
    <dataValidation type="list" allowBlank="1" showInputMessage="1" showErrorMessage="1" sqref="B11">
      <formula1>$U$1:$U$14</formula1>
    </dataValidation>
    <dataValidation type="list" allowBlank="1" showInputMessage="1" showErrorMessage="1" sqref="A14:A19 A25:A30 A36:A41">
      <formula1>$A$1:$A$6</formula1>
    </dataValidation>
    <dataValidation type="list" allowBlank="1" showInputMessage="1" showErrorMessage="1" sqref="D33">
      <formula1>$B$1:$B$4</formula1>
    </dataValidation>
    <dataValidation type="list" allowBlank="1" showInputMessage="1" showErrorMessage="1" sqref="D11">
      <formula1>$B$1:$B$4</formula1>
    </dataValidation>
    <dataValidation type="list" allowBlank="1" showInputMessage="1" showErrorMessage="1" sqref="D22">
      <formula1>$B$1:$B$4</formula1>
    </dataValidation>
  </dataValidations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&amp;CActivity 2</oddHeader>
    <oddFooter>&amp;COliver Saunderson, 0119, 61719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zoomScaleNormal="100" workbookViewId="0">
      <selection activeCell="K31" sqref="K31"/>
    </sheetView>
  </sheetViews>
  <sheetFormatPr defaultRowHeight="15" x14ac:dyDescent="0.25"/>
  <cols>
    <col min="1" max="1" width="16.42578125" style="12" customWidth="1"/>
    <col min="2" max="2" width="12.5703125" style="12" bestFit="1" customWidth="1"/>
    <col min="3" max="3" width="10.28515625" style="5" bestFit="1" customWidth="1"/>
    <col min="4" max="7" width="10.28515625" style="5" customWidth="1"/>
    <col min="8" max="8" width="13.140625" style="5" bestFit="1" customWidth="1"/>
    <col min="9" max="9" width="12" style="5" bestFit="1" customWidth="1"/>
    <col min="10" max="10" width="14.7109375" style="5" bestFit="1" customWidth="1"/>
    <col min="11" max="11" width="9.28515625" style="5" bestFit="1" customWidth="1"/>
    <col min="12" max="13" width="12.7109375" style="5" bestFit="1" customWidth="1"/>
    <col min="14" max="14" width="12" style="5" bestFit="1" customWidth="1"/>
    <col min="15" max="15" width="12.7109375" style="5" bestFit="1" customWidth="1"/>
    <col min="16" max="24" width="9.140625" style="5"/>
    <col min="25" max="25" width="10.85546875" style="5" hidden="1" customWidth="1"/>
    <col min="26" max="16384" width="9.140625" style="5"/>
  </cols>
  <sheetData>
    <row r="1" spans="1:25" x14ac:dyDescent="0.25">
      <c r="J1" s="11" t="s">
        <v>99</v>
      </c>
      <c r="Y1" s="7">
        <v>42522</v>
      </c>
    </row>
    <row r="2" spans="1:25" x14ac:dyDescent="0.25">
      <c r="J2" s="12" t="s">
        <v>36</v>
      </c>
      <c r="Y2" s="7">
        <v>42529</v>
      </c>
    </row>
    <row r="3" spans="1:25" x14ac:dyDescent="0.25">
      <c r="J3" s="12" t="s">
        <v>37</v>
      </c>
      <c r="Y3" s="7">
        <v>42536</v>
      </c>
    </row>
    <row r="4" spans="1:25" x14ac:dyDescent="0.25">
      <c r="J4" s="12" t="s">
        <v>96</v>
      </c>
      <c r="Y4" s="7">
        <v>42543</v>
      </c>
    </row>
    <row r="5" spans="1:25" x14ac:dyDescent="0.25">
      <c r="J5" s="12" t="s">
        <v>55</v>
      </c>
      <c r="Y5" s="7">
        <v>42550</v>
      </c>
    </row>
    <row r="6" spans="1:25" x14ac:dyDescent="0.25">
      <c r="J6" s="12" t="s">
        <v>38</v>
      </c>
      <c r="Y6" s="7">
        <v>42557</v>
      </c>
    </row>
    <row r="7" spans="1:25" x14ac:dyDescent="0.25">
      <c r="J7" s="12" t="s">
        <v>39</v>
      </c>
      <c r="Y7" s="7">
        <v>42564</v>
      </c>
    </row>
    <row r="8" spans="1:25" x14ac:dyDescent="0.25">
      <c r="Y8" s="7">
        <v>42571</v>
      </c>
    </row>
    <row r="9" spans="1:25" x14ac:dyDescent="0.25">
      <c r="Y9" s="7">
        <v>42578</v>
      </c>
    </row>
    <row r="10" spans="1:25" x14ac:dyDescent="0.25">
      <c r="Y10" s="7">
        <v>42585</v>
      </c>
    </row>
    <row r="11" spans="1:25" x14ac:dyDescent="0.25">
      <c r="A11" s="12" t="s">
        <v>47</v>
      </c>
      <c r="B11" s="22">
        <f>Selection!B11</f>
        <v>42569</v>
      </c>
      <c r="Y11" s="7">
        <v>42592</v>
      </c>
    </row>
    <row r="12" spans="1:25" x14ac:dyDescent="0.25">
      <c r="A12" s="19"/>
      <c r="B12" s="19" t="s">
        <v>53</v>
      </c>
      <c r="C12" s="19" t="s">
        <v>54</v>
      </c>
      <c r="D12" s="19" t="s">
        <v>78</v>
      </c>
      <c r="E12" s="19" t="s">
        <v>79</v>
      </c>
      <c r="F12" s="19" t="s">
        <v>80</v>
      </c>
      <c r="G12" s="19" t="s">
        <v>81</v>
      </c>
      <c r="H12" s="19" t="s">
        <v>82</v>
      </c>
      <c r="I12" s="19" t="s">
        <v>56</v>
      </c>
      <c r="J12" s="19" t="s">
        <v>84</v>
      </c>
      <c r="K12" s="19" t="s">
        <v>85</v>
      </c>
      <c r="L12" s="19" t="s">
        <v>80</v>
      </c>
      <c r="M12" s="19" t="s">
        <v>81</v>
      </c>
      <c r="N12" s="19" t="s">
        <v>82</v>
      </c>
      <c r="O12" s="19" t="s">
        <v>83</v>
      </c>
      <c r="Y12" s="7">
        <v>42599</v>
      </c>
    </row>
    <row r="13" spans="1:25" s="16" customFormat="1" x14ac:dyDescent="0.25">
      <c r="A13" s="15" t="str">
        <f>Selection!A13</f>
        <v>Marina</v>
      </c>
      <c r="B13" s="17">
        <f>Selection!B13</f>
        <v>0.5</v>
      </c>
      <c r="C13" s="20">
        <f>Selection!C13</f>
        <v>0.5</v>
      </c>
      <c r="D13" s="20">
        <f ca="1">INDEX('Week Tide'!C$14:C$17,MATCH(' Data'!B13,'Week Tide'!C$14:C$17,1),1)</f>
        <v>0.26597222222222222</v>
      </c>
      <c r="E13" s="20">
        <f ca="1">INDEX('Week Tide'!C$14:C$17,MATCH(' Data'!B13,'Week Tide'!C$14:C$17,1)+1,1)</f>
        <v>0.53680555555555554</v>
      </c>
      <c r="F13" s="28">
        <f ca="1">INDEX('Week Tide'!C$14:C$21,MATCH(' Data'!B13,'Week Tide'!C$14:C$21,1)+4,1)</f>
        <v>5.5119160279999999</v>
      </c>
      <c r="G13" s="28">
        <f ca="1">INDEX('Week Tide'!C$14:C$21,MATCH(' Data'!B13,'Week Tide'!C$14:C$21,1)+5,1)</f>
        <v>1.83948182</v>
      </c>
      <c r="H13" s="27">
        <f t="shared" ref="H13:H19" ca="1" si="0">(B13-D13)/(E13-D13)</f>
        <v>0.86410256410256414</v>
      </c>
      <c r="I13" s="15">
        <f ca="1">(F13-G13)*H13+G13</f>
        <v>5.0128416356307692</v>
      </c>
      <c r="J13" s="20">
        <f ca="1">INDEX('Week Tide'!$C$14:$C$17,MATCH(' Data'!C13,'Week Tide'!C$14:C$17,1),1)</f>
        <v>0.26597222222222222</v>
      </c>
      <c r="K13" s="20">
        <f ca="1">INDEX('Week Tide'!C$14:C$17,MATCH(' Data'!C13,'Week Tide'!C$14:C$17,1)+1,1)</f>
        <v>0.53680555555555554</v>
      </c>
      <c r="L13" s="28">
        <f ca="1">INDEX('Week Tide'!C$14:C$21,MATCH(' Data'!C13,'Week Tide'!C$14:C$21,1)+4,1)</f>
        <v>5.5119160279999999</v>
      </c>
      <c r="M13" s="28">
        <f ca="1">INDEX('Week Tide'!C$14:C$21,MATCH(' Data'!C13,'Week Tide'!C$14:C$21,1)+5,1)</f>
        <v>1.83948182</v>
      </c>
      <c r="N13" s="27">
        <f t="shared" ref="N13:N20" ca="1" si="1">(C13-J13)/(K13-J13)</f>
        <v>0.86410256410256414</v>
      </c>
      <c r="O13" s="15">
        <f t="shared" ref="O13:O20" ca="1" si="2">(L13-M13)*N13+M13</f>
        <v>5.0128416356307692</v>
      </c>
      <c r="Y13" s="7">
        <v>42606</v>
      </c>
    </row>
    <row r="14" spans="1:25" x14ac:dyDescent="0.25">
      <c r="A14" s="15" t="str">
        <f>Selection!A14</f>
        <v>Bird Sanctuary</v>
      </c>
      <c r="B14" s="18">
        <f>C13+(INDEX('Base Times'!$A$11:$H$18,MATCH(A13,'Base Times'!$A$11:$H$11,0),MATCH(A14,'Base Times'!$A$11:$A$18,0))/15+IF(INDEX(Marina!$A$11:$H$18,MATCH(A13,Marina!$A$11:$H$11,0),MATCH(A14,Marina!$A$11:$A$18,0))="N",0,0.05))/24</f>
        <v>0.51249999999999996</v>
      </c>
      <c r="C14" s="10">
        <f>(((VLOOKUP(A14,Sights!$A$12:$C$17,3,FALSE))/60)/24)+B14</f>
        <v>0.5234375</v>
      </c>
      <c r="D14" s="20">
        <f ca="1">INDEX('Week Tide'!C$14:C$17,MATCH(' Data'!B14,'Week Tide'!C$14:C$17,1),1)</f>
        <v>0.26597222222222222</v>
      </c>
      <c r="E14" s="20">
        <f ca="1">INDEX('Week Tide'!C$14:C$17,MATCH(' Data'!B14,'Week Tide'!C$14:C$17,1)+1,1)</f>
        <v>0.53680555555555554</v>
      </c>
      <c r="F14" s="28">
        <f ca="1">INDEX('Week Tide'!C$14:C$21,MATCH(' Data'!B14,'Week Tide'!C$14:C$21,1)+4,1)</f>
        <v>5.5119160279999999</v>
      </c>
      <c r="G14" s="28">
        <f ca="1">INDEX('Week Tide'!C$14:C$21,MATCH(' Data'!B14,'Week Tide'!C$14:C$21,1)+5,1)</f>
        <v>1.83948182</v>
      </c>
      <c r="H14" s="27">
        <f t="shared" ca="1" si="0"/>
        <v>0.91025641025641013</v>
      </c>
      <c r="I14" s="15">
        <f t="shared" ref="I14:I20" ca="1" si="3">(F14-G14)*H14+G14</f>
        <v>5.1823385990769228</v>
      </c>
      <c r="J14" s="20">
        <f ca="1">INDEX('Week Tide'!$C$14:$C$17,MATCH(' Data'!C14,'Week Tide'!C$14:C$17,1),1)</f>
        <v>0.26597222222222222</v>
      </c>
      <c r="K14" s="20">
        <f ca="1">INDEX('Week Tide'!C$14:C$17,MATCH(' Data'!C14,'Week Tide'!C$14:C$17,1)+1,1)</f>
        <v>0.53680555555555554</v>
      </c>
      <c r="L14" s="28">
        <f ca="1">INDEX('Week Tide'!C$14:C$21,MATCH(' Data'!C14,'Week Tide'!C$14:C$21,1)+4,1)</f>
        <v>5.5119160279999999</v>
      </c>
      <c r="M14" s="28">
        <f ca="1">INDEX('Week Tide'!C$14:C$21,MATCH(' Data'!C14,'Week Tide'!C$14:C$21,1)+5,1)</f>
        <v>1.83948182</v>
      </c>
      <c r="N14" s="27">
        <f t="shared" ca="1" si="1"/>
        <v>0.95064102564102571</v>
      </c>
      <c r="O14" s="15">
        <f t="shared" ca="1" si="2"/>
        <v>5.3306484420923077</v>
      </c>
      <c r="Y14" s="7">
        <v>42613</v>
      </c>
    </row>
    <row r="15" spans="1:25" x14ac:dyDescent="0.25">
      <c r="A15" s="15" t="str">
        <f>Selection!A15</f>
        <v>Wilson Falls</v>
      </c>
      <c r="B15" s="18">
        <f>C14+(INDEX('Base Times'!$A$11:$H$18,MATCH(A14,'Base Times'!$A$11:$H$11,0),MATCH(A15,'Base Times'!$A$11:$A$18,0))/15+IF(INDEX(Marina!$A$11:$H$18,MATCH(A14,Marina!$A$11:$H$11,0),MATCH(A15,Marina!$A$11:$A$18,0))="N",0,0.05))/24</f>
        <v>0.55885416666666665</v>
      </c>
      <c r="C15" s="10">
        <f>(((VLOOKUP(A15,Sights!$A$12:$C$17,3,FALSE))/60)/24)+B15</f>
        <v>0.5697916666666667</v>
      </c>
      <c r="D15" s="20">
        <f ca="1">INDEX('Week Tide'!C$14:C$17,MATCH(' Data'!B15,'Week Tide'!C$14:C$17,1),1)</f>
        <v>0.53680555555555554</v>
      </c>
      <c r="E15" s="20">
        <f ca="1">INDEX('Week Tide'!C$14:C$17,MATCH(' Data'!B15,'Week Tide'!C$14:C$17,1)+1,1)</f>
        <v>0.75555555555555554</v>
      </c>
      <c r="F15" s="28">
        <f ca="1">INDEX('Week Tide'!C$14:C$21,MATCH(' Data'!B15,'Week Tide'!C$14:C$21,1)+4,1)</f>
        <v>1.83948182</v>
      </c>
      <c r="G15" s="28">
        <f ca="1">INDEX('Week Tide'!C$14:C$21,MATCH(' Data'!B15,'Week Tide'!C$14:C$21,1)+5,1)</f>
        <v>5.5119160279999999</v>
      </c>
      <c r="H15" s="27">
        <f t="shared" ca="1" si="0"/>
        <v>0.10079365079365081</v>
      </c>
      <c r="I15" s="15">
        <f t="shared" ca="1" si="3"/>
        <v>5.1417579768761907</v>
      </c>
      <c r="J15" s="20">
        <f ca="1">INDEX('Week Tide'!$C$14:$C$17,MATCH(' Data'!C15,'Week Tide'!C$14:C$17,1),1)</f>
        <v>0.53680555555555554</v>
      </c>
      <c r="K15" s="20">
        <f ca="1">INDEX('Week Tide'!C$14:C$17,MATCH(' Data'!C15,'Week Tide'!C$14:C$17,1)+1,1)</f>
        <v>0.75555555555555554</v>
      </c>
      <c r="L15" s="28">
        <f ca="1">INDEX('Week Tide'!C$14:C$21,MATCH(' Data'!C15,'Week Tide'!C$14:C$21,1)+4,1)</f>
        <v>1.83948182</v>
      </c>
      <c r="M15" s="28">
        <f ca="1">INDEX('Week Tide'!C$14:C$21,MATCH(' Data'!C15,'Week Tide'!C$14:C$21,1)+5,1)</f>
        <v>5.5119160279999999</v>
      </c>
      <c r="N15" s="27">
        <f t="shared" ca="1" si="1"/>
        <v>0.15079365079365101</v>
      </c>
      <c r="O15" s="15">
        <f t="shared" ca="1" si="2"/>
        <v>4.9581362664761901</v>
      </c>
    </row>
    <row r="16" spans="1:25" x14ac:dyDescent="0.25">
      <c r="A16" s="15" t="str">
        <f>Selection!A16</f>
        <v>Upton Manor</v>
      </c>
      <c r="B16" s="18">
        <f>C15+(INDEX('Base Times'!$A$11:$H$18,MATCH(A15,'Base Times'!$A$11:$H$11,0),MATCH(A16,'Base Times'!$A$11:$A$18,0))/15+IF(INDEX(Marina!$A$11:$H$18,MATCH(A15,Marina!$A$11:$H$11,0),MATCH(A16,Marina!$A$11:$A$18,0))="N",0,0.05))/24</f>
        <v>0.58229166666666665</v>
      </c>
      <c r="C16" s="10">
        <f>(((VLOOKUP(A16,Sights!$A$12:$C$17,3,FALSE))/60)/24)+B16</f>
        <v>0.59479166666666661</v>
      </c>
      <c r="D16" s="20">
        <f ca="1">INDEX('Week Tide'!C$14:C$17,MATCH(' Data'!B16,'Week Tide'!C$14:C$17,1),1)</f>
        <v>0.53680555555555554</v>
      </c>
      <c r="E16" s="20">
        <f ca="1">INDEX('Week Tide'!C$14:C$17,MATCH(' Data'!B16,'Week Tide'!C$14:C$17,1)+1,1)</f>
        <v>0.75555555555555554</v>
      </c>
      <c r="F16" s="28">
        <f ca="1">INDEX('Week Tide'!C$14:C$21,MATCH(' Data'!B16,'Week Tide'!C$14:C$21,1)+4,1)</f>
        <v>1.83948182</v>
      </c>
      <c r="G16" s="28">
        <f ca="1">INDEX('Week Tide'!C$14:C$21,MATCH(' Data'!B16,'Week Tide'!C$14:C$21,1)+5,1)</f>
        <v>5.5119160279999999</v>
      </c>
      <c r="H16" s="27">
        <f t="shared" ca="1" si="0"/>
        <v>0.20793650793650795</v>
      </c>
      <c r="I16" s="15">
        <f t="shared" ca="1" si="3"/>
        <v>4.7482828831619042</v>
      </c>
      <c r="J16" s="20">
        <f ca="1">INDEX('Week Tide'!$C$14:$C$17,MATCH(' Data'!C16,'Week Tide'!C$14:C$17,1),1)</f>
        <v>0.53680555555555554</v>
      </c>
      <c r="K16" s="20">
        <f ca="1">INDEX('Week Tide'!C$14:C$17,MATCH(' Data'!C16,'Week Tide'!C$14:C$17,1)+1,1)</f>
        <v>0.75555555555555554</v>
      </c>
      <c r="L16" s="28">
        <f ca="1">INDEX('Week Tide'!C$14:C$21,MATCH(' Data'!C16,'Week Tide'!C$14:C$21,1)+4,1)</f>
        <v>1.83948182</v>
      </c>
      <c r="M16" s="28">
        <f ca="1">INDEX('Week Tide'!C$14:C$21,MATCH(' Data'!C16,'Week Tide'!C$14:C$21,1)+5,1)</f>
        <v>5.5119160279999999</v>
      </c>
      <c r="N16" s="27">
        <f t="shared" ca="1" si="1"/>
        <v>0.26507936507936491</v>
      </c>
      <c r="O16" s="15">
        <f t="shared" ca="1" si="2"/>
        <v>4.53842949984762</v>
      </c>
    </row>
    <row r="17" spans="1:15" x14ac:dyDescent="0.25">
      <c r="A17" s="15" t="str">
        <f>Selection!A17</f>
        <v>Fingals Cave</v>
      </c>
      <c r="B17" s="18">
        <f>C16+(INDEX('Base Times'!$A$11:$H$18,MATCH(A16,'Base Times'!$A$11:$H$11,0),MATCH(A17,'Base Times'!$A$11:$A$18,0))/15+IF(INDEX(Marina!$A$11:$H$18,MATCH(A16,Marina!$A$11:$H$11,0),MATCH(A17,Marina!$A$11:$A$18,0))="N",0,0.05))/24</f>
        <v>0.6177083333333333</v>
      </c>
      <c r="C17" s="10">
        <f>(((VLOOKUP(A17,Sights!$A$12:$C$17,3,FALSE))/60)/24)+B17</f>
        <v>0.62864583333333335</v>
      </c>
      <c r="D17" s="20">
        <f ca="1">INDEX('Week Tide'!C$14:C$17,MATCH(' Data'!B17,'Week Tide'!C$14:C$17,1),1)</f>
        <v>0.53680555555555554</v>
      </c>
      <c r="E17" s="20">
        <f ca="1">INDEX('Week Tide'!C$14:C$17,MATCH(' Data'!B17,'Week Tide'!C$14:C$17,1)+1,1)</f>
        <v>0.75555555555555554</v>
      </c>
      <c r="F17" s="28">
        <f ca="1">INDEX('Week Tide'!C$14:C$21,MATCH(' Data'!B17,'Week Tide'!C$14:C$21,1)+4,1)</f>
        <v>1.83948182</v>
      </c>
      <c r="G17" s="28">
        <f ca="1">INDEX('Week Tide'!C$14:C$21,MATCH(' Data'!B17,'Week Tide'!C$14:C$21,1)+5,1)</f>
        <v>5.5119160279999999</v>
      </c>
      <c r="H17" s="27">
        <f t="shared" ca="1" si="0"/>
        <v>0.3698412698412698</v>
      </c>
      <c r="I17" s="15">
        <f t="shared" ca="1" si="3"/>
        <v>4.1536982971047625</v>
      </c>
      <c r="J17" s="20">
        <f ca="1">INDEX('Week Tide'!$C$14:$C$17,MATCH(' Data'!C17,'Week Tide'!C$14:C$17,1),1)</f>
        <v>0.53680555555555554</v>
      </c>
      <c r="K17" s="20">
        <f ca="1">INDEX('Week Tide'!C$14:C$17,MATCH(' Data'!C17,'Week Tide'!C$14:C$17,1)+1,1)</f>
        <v>0.75555555555555554</v>
      </c>
      <c r="L17" s="28">
        <f ca="1">INDEX('Week Tide'!C$14:C$21,MATCH(' Data'!C17,'Week Tide'!C$14:C$21,1)+4,1)</f>
        <v>1.83948182</v>
      </c>
      <c r="M17" s="28">
        <f ca="1">INDEX('Week Tide'!C$14:C$21,MATCH(' Data'!C17,'Week Tide'!C$14:C$21,1)+5,1)</f>
        <v>5.5119160279999999</v>
      </c>
      <c r="N17" s="27">
        <f t="shared" ca="1" si="1"/>
        <v>0.41984126984127002</v>
      </c>
      <c r="O17" s="27">
        <f t="shared" ca="1" si="2"/>
        <v>3.9700765867047609</v>
      </c>
    </row>
    <row r="18" spans="1:15" x14ac:dyDescent="0.25">
      <c r="A18" s="15" t="str">
        <f>Selection!A18</f>
        <v>Matildas Secret</v>
      </c>
      <c r="B18" s="18">
        <f>C17+(INDEX('Base Times'!$A$11:$H$18,MATCH(A17,'Base Times'!$A$11:$H$11,0),MATCH(A18,'Base Times'!$A$11:$A$18,0))/15+IF(INDEX(Marina!$A$11:$H$18,MATCH(A17,Marina!$A$11:$H$11,0),MATCH(A18,Marina!$A$11:$A$18,0))="N",0,0.05))/24</f>
        <v>0.66197916666666667</v>
      </c>
      <c r="C18" s="10">
        <f>(((VLOOKUP(A18,Sights!$A$12:$C$17,3,FALSE))/60)/24)+B18</f>
        <v>0.6723958333333333</v>
      </c>
      <c r="D18" s="20">
        <f ca="1">INDEX('Week Tide'!C$14:C$17,MATCH(' Data'!B18,'Week Tide'!C$14:C$17,1),1)</f>
        <v>0.53680555555555554</v>
      </c>
      <c r="E18" s="20">
        <f ca="1">INDEX('Week Tide'!C$14:C$17,MATCH(' Data'!B18,'Week Tide'!C$14:C$17,1)+1,1)</f>
        <v>0.75555555555555554</v>
      </c>
      <c r="F18" s="28">
        <f ca="1">INDEX('Week Tide'!C$14:C$21,MATCH(' Data'!B18,'Week Tide'!C$14:C$21,1)+4,1)</f>
        <v>1.83948182</v>
      </c>
      <c r="G18" s="28">
        <f ca="1">INDEX('Week Tide'!C$14:C$21,MATCH(' Data'!B18,'Week Tide'!C$14:C$21,1)+5,1)</f>
        <v>5.5119160279999999</v>
      </c>
      <c r="H18" s="27">
        <f t="shared" ca="1" si="0"/>
        <v>0.5722222222222223</v>
      </c>
      <c r="I18" s="15">
        <f t="shared" ca="1" si="3"/>
        <v>3.4104675645333331</v>
      </c>
      <c r="J18" s="20">
        <f ca="1">INDEX('Week Tide'!$C$14:$C$17,MATCH(' Data'!C18,'Week Tide'!C$14:C$17,1),1)</f>
        <v>0.53680555555555554</v>
      </c>
      <c r="K18" s="20">
        <f ca="1">INDEX('Week Tide'!C$14:C$17,MATCH(' Data'!C18,'Week Tide'!C$14:C$17,1)+1,1)</f>
        <v>0.75555555555555554</v>
      </c>
      <c r="L18" s="28">
        <f ca="1">INDEX('Week Tide'!C$14:C$21,MATCH(' Data'!C18,'Week Tide'!C$14:C$21,1)+4,1)</f>
        <v>1.83948182</v>
      </c>
      <c r="M18" s="28">
        <f ca="1">INDEX('Week Tide'!C$14:C$21,MATCH(' Data'!C18,'Week Tide'!C$14:C$21,1)+5,1)</f>
        <v>5.5119160279999999</v>
      </c>
      <c r="N18" s="27">
        <f t="shared" ca="1" si="1"/>
        <v>0.61984126984126975</v>
      </c>
      <c r="O18" s="15">
        <f t="shared" ca="1" si="2"/>
        <v>3.2355897451047624</v>
      </c>
    </row>
    <row r="19" spans="1:15" x14ac:dyDescent="0.25">
      <c r="A19" s="15" t="str">
        <f>Selection!A19</f>
        <v>Seal Flats</v>
      </c>
      <c r="B19" s="18">
        <f>C18+(INDEX('Base Times'!$A$11:$H$18,MATCH(A18,'Base Times'!$A$11:$H$11,0),MATCH(A19,'Base Times'!$A$11:$A$18,0))/15+IF(INDEX(Marina!$A$11:$H$18,MATCH(A18,Marina!$A$11:$H$11,0),MATCH(A19,Marina!$A$11:$A$18,0))="N",0,0.05))/24</f>
        <v>0.70781249999999996</v>
      </c>
      <c r="C19" s="10">
        <f>(((VLOOKUP(A19,Sights!$A$12:$C$17,3,FALSE))/60)/24)+B19</f>
        <v>0.72135416666666663</v>
      </c>
      <c r="D19" s="20">
        <f ca="1">INDEX('Week Tide'!C$14:C$17,MATCH(' Data'!B19,'Week Tide'!C$14:C$17,1),1)</f>
        <v>0.53680555555555554</v>
      </c>
      <c r="E19" s="20">
        <f ca="1">INDEX('Week Tide'!C$14:C$17,MATCH(' Data'!B19,'Week Tide'!C$14:C$17,1)+1,1)</f>
        <v>0.75555555555555554</v>
      </c>
      <c r="F19" s="28">
        <f ca="1">INDEX('Week Tide'!C$14:C$21,MATCH(' Data'!B19,'Week Tide'!C$14:C$21,1)+4,1)</f>
        <v>1.83948182</v>
      </c>
      <c r="G19" s="28">
        <f ca="1">INDEX('Week Tide'!C$14:C$21,MATCH(' Data'!B19,'Week Tide'!C$14:C$21,1)+5,1)</f>
        <v>5.5119160279999999</v>
      </c>
      <c r="H19" s="27">
        <f t="shared" ca="1" si="0"/>
        <v>0.78174603174603163</v>
      </c>
      <c r="I19" s="15">
        <f t="shared" ca="1" si="3"/>
        <v>2.6410051590476193</v>
      </c>
      <c r="J19" s="20">
        <f ca="1">INDEX('Week Tide'!$C$14:$C$17,MATCH(' Data'!C19,'Week Tide'!C$14:C$17,1),1)</f>
        <v>0.53680555555555554</v>
      </c>
      <c r="K19" s="20">
        <f ca="1">INDEX('Week Tide'!C$14:C$17,MATCH(' Data'!C19,'Week Tide'!C$14:C$17,1)+1,1)</f>
        <v>0.75555555555555554</v>
      </c>
      <c r="L19" s="28">
        <f ca="1">INDEX('Week Tide'!C$14:C$21,MATCH(' Data'!C19,'Week Tide'!C$14:C$21,1)+4,1)</f>
        <v>1.83948182</v>
      </c>
      <c r="M19" s="28">
        <f ca="1">INDEX('Week Tide'!C$14:C$21,MATCH(' Data'!C19,'Week Tide'!C$14:C$21,1)+5,1)</f>
        <v>5.5119160279999999</v>
      </c>
      <c r="N19" s="27">
        <f t="shared" ca="1" si="1"/>
        <v>0.84365079365079354</v>
      </c>
      <c r="O19" s="15">
        <f t="shared" ca="1" si="2"/>
        <v>2.4136639937904767</v>
      </c>
    </row>
    <row r="20" spans="1:15" x14ac:dyDescent="0.25">
      <c r="A20" s="15" t="str">
        <f>Selection!A20</f>
        <v>Marina</v>
      </c>
      <c r="B20" s="18">
        <f>C19+(INDEX('Base Times'!$A$11:$H$18,MATCH(A19,'Base Times'!$A$11:$H$11,0),MATCH(A20,'Base Times'!$A$11:$A$18,0))/15+IF(INDEX(Marina!$A$11:$H$18,MATCH(A19,Marina!$A$11:$H$11,0),MATCH(A20,Marina!$A$11:$A$18,0))="N",0,0.05))/24</f>
        <v>0.73385416666666659</v>
      </c>
      <c r="C20" s="10">
        <f>B20</f>
        <v>0.73385416666666659</v>
      </c>
      <c r="D20" s="20">
        <f ca="1">INDEX('Week Tide'!C$14:C$17,MATCH(' Data'!B20,'Week Tide'!C$14:C$17,1),1)</f>
        <v>0.53680555555555554</v>
      </c>
      <c r="E20" s="20">
        <f ca="1">INDEX('Week Tide'!C$14:C$17,MATCH(' Data'!B20,'Week Tide'!C$14:C$17,1)+1,1)</f>
        <v>0.75555555555555554</v>
      </c>
      <c r="F20" s="28">
        <f ca="1">INDEX('Week Tide'!C$14:C$21,MATCH(' Data'!B20,'Week Tide'!C$14:C$21,1)+4,1)</f>
        <v>1.83948182</v>
      </c>
      <c r="G20" s="28">
        <f ca="1">INDEX('Week Tide'!C$14:C$21,MATCH(' Data'!B20,'Week Tide'!C$14:C$21,1)+5,1)</f>
        <v>5.5119160279999999</v>
      </c>
      <c r="H20" s="27">
        <f ca="1">(C20-D20)/(E20-D20)</f>
        <v>0.90079365079365048</v>
      </c>
      <c r="I20" s="15">
        <f t="shared" ca="1" si="3"/>
        <v>2.2038106104761916</v>
      </c>
      <c r="J20" s="20">
        <f ca="1">INDEX('Week Tide'!$C$14:$C$17,MATCH(' Data'!C20,'Week Tide'!C$14:C$17,1),1)</f>
        <v>0.53680555555555554</v>
      </c>
      <c r="K20" s="20">
        <f ca="1">INDEX('Week Tide'!C$14:C$17,MATCH(' Data'!C20,'Week Tide'!C$14:C$17,1)+1,1)</f>
        <v>0.75555555555555554</v>
      </c>
      <c r="L20" s="28">
        <f ca="1">INDEX('Week Tide'!C$14:C$21,MATCH(' Data'!C20,'Week Tide'!C$14:C$21,1)+4,1)</f>
        <v>1.83948182</v>
      </c>
      <c r="M20" s="28">
        <f ca="1">INDEX('Week Tide'!C$14:C$21,MATCH(' Data'!C20,'Week Tide'!C$14:C$21,1)+5,1)</f>
        <v>5.5119160279999999</v>
      </c>
      <c r="N20" s="27">
        <f t="shared" ca="1" si="1"/>
        <v>0.90079365079365048</v>
      </c>
      <c r="O20" s="15">
        <f t="shared" ca="1" si="2"/>
        <v>2.2038106104761916</v>
      </c>
    </row>
    <row r="22" spans="1:15" x14ac:dyDescent="0.25">
      <c r="A22" s="12" t="s">
        <v>49</v>
      </c>
      <c r="B22" s="22">
        <f>Selection!B22</f>
        <v>42571</v>
      </c>
    </row>
    <row r="23" spans="1:15" x14ac:dyDescent="0.25">
      <c r="A23" s="19"/>
      <c r="B23" s="19" t="s">
        <v>53</v>
      </c>
      <c r="C23" s="19" t="s">
        <v>54</v>
      </c>
      <c r="D23" s="19" t="s">
        <v>78</v>
      </c>
      <c r="E23" s="19" t="s">
        <v>79</v>
      </c>
      <c r="F23" s="19" t="s">
        <v>80</v>
      </c>
      <c r="G23" s="19" t="s">
        <v>81</v>
      </c>
      <c r="H23" s="19" t="s">
        <v>82</v>
      </c>
      <c r="I23" s="19" t="s">
        <v>56</v>
      </c>
      <c r="J23" s="19" t="s">
        <v>84</v>
      </c>
      <c r="K23" s="19" t="s">
        <v>85</v>
      </c>
      <c r="L23" s="19" t="s">
        <v>80</v>
      </c>
      <c r="M23" s="19" t="s">
        <v>81</v>
      </c>
      <c r="N23" s="19" t="s">
        <v>82</v>
      </c>
      <c r="O23" s="19" t="s">
        <v>83</v>
      </c>
    </row>
    <row r="24" spans="1:15" x14ac:dyDescent="0.25">
      <c r="A24" s="15" t="str">
        <f>Selection!A24</f>
        <v>Marina</v>
      </c>
      <c r="B24" s="17">
        <f>Selection!B24</f>
        <v>0.375</v>
      </c>
      <c r="C24" s="20">
        <f>Selection!C24</f>
        <v>0.375</v>
      </c>
      <c r="D24" s="20">
        <f ca="1">INDEX('Week Tide'!E$14:E$17,MATCH(' Data'!B24,'Week Tide'!E$14:E$17,1),1)</f>
        <v>0.33888888888888885</v>
      </c>
      <c r="E24" s="20">
        <f ca="1">INDEX('Week Tide'!E$14:E$17,MATCH(' Data'!B24,'Week Tide'!E$14:E$17,1)+1,1)</f>
        <v>0.60972222222222217</v>
      </c>
      <c r="F24" s="28">
        <f ca="1">INDEX('Week Tide'!E$14:E$21,MATCH(' Data'!B24,'Week Tide'!E$14:E$21,1)+4,1)</f>
        <v>6.6101049649999997</v>
      </c>
      <c r="G24" s="28">
        <f ca="1">INDEX('Week Tide'!E$14:E$21,MATCH(' Data'!B24,'Week Tide'!E$14:E$21,1)+5,1)</f>
        <v>1.83948182</v>
      </c>
      <c r="H24" s="27">
        <f t="shared" ref="H24:H30" ca="1" si="4">(B24-D24)/(E24-D24)</f>
        <v>0.13333333333333347</v>
      </c>
      <c r="I24" s="15">
        <f ca="1">(F24-G24)*H24+G24</f>
        <v>2.4755649060000007</v>
      </c>
      <c r="J24" s="20">
        <f ca="1">INDEX('Week Tide'!$E$14:$E$17,MATCH(' Data'!C24,'Week Tide'!$E$14:$E$17,1),1)</f>
        <v>0.33888888888888885</v>
      </c>
      <c r="K24" s="20">
        <f ca="1">INDEX('Week Tide'!E$14:E$17,MATCH(' Data'!C24,'Week Tide'!E$14:E$17,1)+1,1)</f>
        <v>0.60972222222222217</v>
      </c>
      <c r="L24" s="28">
        <f ca="1">INDEX('Week Tide'!E$14:E$21,MATCH(' Data'!C24,'Week Tide'!E$14:E$21,1)+4,1)</f>
        <v>6.6101049649999997</v>
      </c>
      <c r="M24" s="28">
        <f ca="1">INDEX('Week Tide'!E$14:E$21,MATCH(' Data'!C24,'Week Tide'!E$14:E$21,1)+5,1)</f>
        <v>1.83948182</v>
      </c>
      <c r="N24" s="27">
        <f t="shared" ref="N24:N31" ca="1" si="5">(C24-J24)/(K24-J24)</f>
        <v>0.13333333333333347</v>
      </c>
      <c r="O24" s="15">
        <f t="shared" ref="O24:O31" ca="1" si="6">(L24-M24)*N24+M24</f>
        <v>2.4755649060000007</v>
      </c>
    </row>
    <row r="25" spans="1:15" x14ac:dyDescent="0.25">
      <c r="A25" s="15" t="str">
        <f>Selection!A25</f>
        <v>Seal Flats</v>
      </c>
      <c r="B25" s="18">
        <f>C24+(INDEX('Base Times'!$A$11:$H$18,MATCH(A24,'Base Times'!$A$11:$H$11,0),MATCH(A25,'Base Times'!$A$11:$A$18,0))/15+IF(INDEX(Marina!$A$11:$H$18,MATCH(A24,Marina!$A$11:$H$11,0),MATCH(A25,Marina!$A$11:$A$18,0))="N",0,0.05))/24</f>
        <v>0.38750000000000001</v>
      </c>
      <c r="C25" s="10">
        <f>(((VLOOKUP(A25,Sights!$A$12:$C$17,3,FALSE))/60)/24)+B25</f>
        <v>0.40104166666666669</v>
      </c>
      <c r="D25" s="20">
        <f ca="1">INDEX('Week Tide'!E$14:E$17,MATCH(' Data'!B25,'Week Tide'!E$14:E$17,1),1)</f>
        <v>0.33888888888888885</v>
      </c>
      <c r="E25" s="20">
        <f ca="1">INDEX('Week Tide'!E$14:E$17,MATCH(' Data'!B25,'Week Tide'!E$14:E$17,1)+1,1)</f>
        <v>0.60972222222222217</v>
      </c>
      <c r="F25" s="28">
        <f ca="1">INDEX('Week Tide'!E$14:E$21,MATCH(' Data'!B25,'Week Tide'!E$14:E$21,1)+4,1)</f>
        <v>6.6101049649999997</v>
      </c>
      <c r="G25" s="28">
        <f ca="1">INDEX('Week Tide'!E$14:E$21,MATCH(' Data'!B25,'Week Tide'!E$14:E$21,1)+5,1)</f>
        <v>1.83948182</v>
      </c>
      <c r="H25" s="27">
        <f t="shared" ca="1" si="4"/>
        <v>0.17948717948717968</v>
      </c>
      <c r="I25" s="15">
        <f t="shared" ref="I25:I31" ca="1" si="7">(F25-G25)*H25+G25</f>
        <v>2.6957475126923089</v>
      </c>
      <c r="J25" s="20">
        <f ca="1">INDEX('Week Tide'!$E$14:$E$17,MATCH(' Data'!C25,'Week Tide'!$E$14:$E$17,1),1)</f>
        <v>0.33888888888888885</v>
      </c>
      <c r="K25" s="20">
        <f ca="1">INDEX('Week Tide'!E$14:E$17,MATCH(' Data'!C25,'Week Tide'!E$14:E$17,1)+1,1)</f>
        <v>0.60972222222222217</v>
      </c>
      <c r="L25" s="28">
        <f ca="1">INDEX('Week Tide'!E$14:E$21,MATCH(' Data'!C25,'Week Tide'!E$14:E$21,1)+4,1)</f>
        <v>6.6101049649999997</v>
      </c>
      <c r="M25" s="28">
        <f ca="1">INDEX('Week Tide'!E$14:E$21,MATCH(' Data'!C25,'Week Tide'!E$14:E$21,1)+5,1)</f>
        <v>1.83948182</v>
      </c>
      <c r="N25" s="27">
        <f t="shared" ca="1" si="5"/>
        <v>0.2294871794871797</v>
      </c>
      <c r="O25" s="15">
        <f t="shared" ca="1" si="6"/>
        <v>2.9342786699423087</v>
      </c>
    </row>
    <row r="26" spans="1:15" x14ac:dyDescent="0.25">
      <c r="A26" s="15" t="str">
        <f>Selection!A26</f>
        <v>Matildas Secret</v>
      </c>
      <c r="B26" s="18">
        <f>C25+(INDEX('Base Times'!$A$11:$H$18,MATCH(A25,'Base Times'!$A$11:$H$11,0),MATCH(A26,'Base Times'!$A$11:$A$18,0))/15+IF(INDEX(Marina!$A$11:$H$18,MATCH(A25,Marina!$A$11:$H$11,0),MATCH(A26,Marina!$A$11:$A$18,0))="N",0,0.05))/24</f>
        <v>0.43645833333333334</v>
      </c>
      <c r="C26" s="10">
        <f>(((VLOOKUP(A26,Sights!$A$12:$C$17,3,FALSE))/60)/24)+B26</f>
        <v>0.44687500000000002</v>
      </c>
      <c r="D26" s="20">
        <f ca="1">INDEX('Week Tide'!E$14:E$17,MATCH(' Data'!B26,'Week Tide'!E$14:E$17,1),1)</f>
        <v>0.33888888888888885</v>
      </c>
      <c r="E26" s="20">
        <f ca="1">INDEX('Week Tide'!E$14:E$17,MATCH(' Data'!B26,'Week Tide'!E$14:E$17,1)+1,1)</f>
        <v>0.60972222222222217</v>
      </c>
      <c r="F26" s="28">
        <f ca="1">INDEX('Week Tide'!E$14:E$21,MATCH(' Data'!B26,'Week Tide'!E$14:E$21,1)+4,1)</f>
        <v>6.6101049649999997</v>
      </c>
      <c r="G26" s="28">
        <f ca="1">INDEX('Week Tide'!E$14:E$21,MATCH(' Data'!B26,'Week Tide'!E$14:E$21,1)+5,1)</f>
        <v>1.83948182</v>
      </c>
      <c r="H26" s="27">
        <f t="shared" ca="1" si="4"/>
        <v>0.36025641025641042</v>
      </c>
      <c r="I26" s="15">
        <f t="shared" ca="1" si="7"/>
        <v>3.558129388903847</v>
      </c>
      <c r="J26" s="20">
        <f ca="1">INDEX('Week Tide'!$E$14:$E$17,MATCH(' Data'!C26,'Week Tide'!$E$14:$E$17,1),1)</f>
        <v>0.33888888888888885</v>
      </c>
      <c r="K26" s="20">
        <f ca="1">INDEX('Week Tide'!E$14:E$17,MATCH(' Data'!C26,'Week Tide'!E$14:E$17,1)+1,1)</f>
        <v>0.60972222222222217</v>
      </c>
      <c r="L26" s="28">
        <f ca="1">INDEX('Week Tide'!E$14:E$21,MATCH(' Data'!C26,'Week Tide'!E$14:E$21,1)+4,1)</f>
        <v>6.6101049649999997</v>
      </c>
      <c r="M26" s="28">
        <f ca="1">INDEX('Week Tide'!E$14:E$21,MATCH(' Data'!C26,'Week Tide'!E$14:E$21,1)+5,1)</f>
        <v>1.83948182</v>
      </c>
      <c r="N26" s="27">
        <f t="shared" ca="1" si="5"/>
        <v>0.39871794871794897</v>
      </c>
      <c r="O26" s="15">
        <f t="shared" ca="1" si="6"/>
        <v>3.7416148944807706</v>
      </c>
    </row>
    <row r="27" spans="1:15" x14ac:dyDescent="0.25">
      <c r="A27" s="15" t="str">
        <f>Selection!A27</f>
        <v>Bird Sanctuary</v>
      </c>
      <c r="B27" s="18">
        <f>C26+(INDEX('Base Times'!$A$11:$H$18,MATCH(A26,'Base Times'!$A$11:$H$11,0),MATCH(A27,'Base Times'!$A$11:$A$18,0))/15+IF(INDEX(Marina!$A$11:$H$18,MATCH(A26,Marina!$A$11:$H$11,0),MATCH(A27,Marina!$A$11:$A$18,0))="N",0,0.05))/24</f>
        <v>0.47812500000000002</v>
      </c>
      <c r="C27" s="10">
        <f>(((VLOOKUP(A27,Sights!$A$12:$C$17,3,FALSE))/60)/24)+B27</f>
        <v>0.48906250000000001</v>
      </c>
      <c r="D27" s="20">
        <f ca="1">INDEX('Week Tide'!E$14:E$17,MATCH(' Data'!B27,'Week Tide'!E$14:E$17,1),1)</f>
        <v>0.33888888888888885</v>
      </c>
      <c r="E27" s="20">
        <f ca="1">INDEX('Week Tide'!E$14:E$17,MATCH(' Data'!B27,'Week Tide'!E$14:E$17,1)+1,1)</f>
        <v>0.60972222222222217</v>
      </c>
      <c r="F27" s="28">
        <f ca="1">INDEX('Week Tide'!E$14:E$21,MATCH(' Data'!B27,'Week Tide'!E$14:E$21,1)+4,1)</f>
        <v>6.6101049649999997</v>
      </c>
      <c r="G27" s="28">
        <f ca="1">INDEX('Week Tide'!E$14:E$21,MATCH(' Data'!B27,'Week Tide'!E$14:E$21,1)+5,1)</f>
        <v>1.83948182</v>
      </c>
      <c r="H27" s="27">
        <f t="shared" ca="1" si="4"/>
        <v>0.51410256410256439</v>
      </c>
      <c r="I27" s="15">
        <f t="shared" ca="1" si="7"/>
        <v>4.2920714112115395</v>
      </c>
      <c r="J27" s="20">
        <f ca="1">INDEX('Week Tide'!$E$14:$E$17,MATCH(' Data'!C27,'Week Tide'!$E$14:$E$17,1),1)</f>
        <v>0.33888888888888885</v>
      </c>
      <c r="K27" s="20">
        <f ca="1">INDEX('Week Tide'!E$14:E$17,MATCH(' Data'!C27,'Week Tide'!E$14:E$17,1)+1,1)</f>
        <v>0.60972222222222217</v>
      </c>
      <c r="L27" s="28">
        <f ca="1">INDEX('Week Tide'!E$14:E$21,MATCH(' Data'!C27,'Week Tide'!E$14:E$21,1)+4,1)</f>
        <v>6.6101049649999997</v>
      </c>
      <c r="M27" s="28">
        <f ca="1">INDEX('Week Tide'!E$14:E$21,MATCH(' Data'!C27,'Week Tide'!E$14:E$21,1)+5,1)</f>
        <v>1.83948182</v>
      </c>
      <c r="N27" s="27">
        <f t="shared" ca="1" si="5"/>
        <v>0.55448717948717974</v>
      </c>
      <c r="O27" s="15">
        <f t="shared" ca="1" si="6"/>
        <v>4.4847311920673087</v>
      </c>
    </row>
    <row r="28" spans="1:15" x14ac:dyDescent="0.25">
      <c r="A28" s="15" t="str">
        <f>Selection!A28</f>
        <v>Upton Manor</v>
      </c>
      <c r="B28" s="18">
        <f>C27+(INDEX('Base Times'!$A$11:$H$18,MATCH(A27,'Base Times'!$A$11:$H$11,0),MATCH(A28,'Base Times'!$A$11:$A$18,0))/15+IF(INDEX(Marina!$A$11:$H$18,MATCH(A27,Marina!$A$11:$H$11,0),MATCH(A28,Marina!$A$11:$A$18,0))="N",0,0.05))/24</f>
        <v>0.50989583333333333</v>
      </c>
      <c r="C28" s="10">
        <f>(((VLOOKUP(A28,Sights!$A$12:$C$17,3,FALSE))/60)/24)+B28</f>
        <v>0.52239583333333328</v>
      </c>
      <c r="D28" s="20">
        <f ca="1">INDEX('Week Tide'!E$14:E$17,MATCH(' Data'!B28,'Week Tide'!E$14:E$17,1),1)</f>
        <v>0.33888888888888885</v>
      </c>
      <c r="E28" s="20">
        <f ca="1">INDEX('Week Tide'!E$14:E$17,MATCH(' Data'!B28,'Week Tide'!E$14:E$17,1)+1,1)</f>
        <v>0.60972222222222217</v>
      </c>
      <c r="F28" s="28">
        <f ca="1">INDEX('Week Tide'!E$14:E$21,MATCH(' Data'!B28,'Week Tide'!E$14:E$21,1)+4,1)</f>
        <v>6.6101049649999997</v>
      </c>
      <c r="G28" s="28">
        <f ca="1">INDEX('Week Tide'!E$14:E$21,MATCH(' Data'!B28,'Week Tide'!E$14:E$21,1)+5,1)</f>
        <v>1.83948182</v>
      </c>
      <c r="H28" s="27">
        <f t="shared" ca="1" si="4"/>
        <v>0.63141025641025661</v>
      </c>
      <c r="I28" s="15">
        <f t="shared" ca="1" si="7"/>
        <v>4.851702203221155</v>
      </c>
      <c r="J28" s="20">
        <f ca="1">INDEX('Week Tide'!$E$14:$E$17,MATCH(' Data'!C28,'Week Tide'!$E$14:$E$17,1),1)</f>
        <v>0.33888888888888885</v>
      </c>
      <c r="K28" s="20">
        <f ca="1">INDEX('Week Tide'!E$14:E$17,MATCH(' Data'!C28,'Week Tide'!E$14:E$17,1)+1,1)</f>
        <v>0.60972222222222217</v>
      </c>
      <c r="L28" s="28">
        <f ca="1">INDEX('Week Tide'!E$14:E$21,MATCH(' Data'!C28,'Week Tide'!E$14:E$21,1)+4,1)</f>
        <v>6.6101049649999997</v>
      </c>
      <c r="M28" s="28">
        <f ca="1">INDEX('Week Tide'!E$14:E$21,MATCH(' Data'!C28,'Week Tide'!E$14:E$21,1)+5,1)</f>
        <v>1.83948182</v>
      </c>
      <c r="N28" s="27">
        <f t="shared" ca="1" si="5"/>
        <v>0.6775641025641026</v>
      </c>
      <c r="O28" s="27">
        <f t="shared" ca="1" si="6"/>
        <v>5.0718848099134615</v>
      </c>
    </row>
    <row r="29" spans="1:15" x14ac:dyDescent="0.25">
      <c r="A29" s="15" t="str">
        <f>Selection!A29</f>
        <v>Fingals Cave</v>
      </c>
      <c r="B29" s="18">
        <f>C28+(INDEX('Base Times'!$A$11:$H$18,MATCH(A28,'Base Times'!$A$11:$H$11,0),MATCH(A29,'Base Times'!$A$11:$A$18,0))/15+IF(INDEX(Marina!$A$11:$H$18,MATCH(A28,Marina!$A$11:$H$11,0),MATCH(A29,Marina!$A$11:$A$18,0))="N",0,0.05))/24</f>
        <v>0.54531249999999998</v>
      </c>
      <c r="C29" s="10">
        <f>(((VLOOKUP(A29,Sights!$A$12:$C$17,3,FALSE))/60)/24)+B29</f>
        <v>0.55625000000000002</v>
      </c>
      <c r="D29" s="20">
        <f ca="1">INDEX('Week Tide'!E$14:E$17,MATCH(' Data'!B29,'Week Tide'!E$14:E$17,1),1)</f>
        <v>0.33888888888888885</v>
      </c>
      <c r="E29" s="20">
        <f ca="1">INDEX('Week Tide'!E$14:E$17,MATCH(' Data'!B29,'Week Tide'!E$14:E$17,1)+1,1)</f>
        <v>0.60972222222222217</v>
      </c>
      <c r="F29" s="28">
        <f ca="1">INDEX('Week Tide'!E$14:E$21,MATCH(' Data'!B29,'Week Tide'!E$14:E$21,1)+4,1)</f>
        <v>6.6101049649999997</v>
      </c>
      <c r="G29" s="28">
        <f ca="1">INDEX('Week Tide'!E$14:E$21,MATCH(' Data'!B29,'Week Tide'!E$14:E$21,1)+5,1)</f>
        <v>1.83948182</v>
      </c>
      <c r="H29" s="27">
        <f t="shared" ca="1" si="4"/>
        <v>0.76217948717948725</v>
      </c>
      <c r="I29" s="15">
        <f t="shared" ca="1" si="7"/>
        <v>5.4755529221826933</v>
      </c>
      <c r="J29" s="20">
        <f ca="1">INDEX('Week Tide'!$E$14:$E$17,MATCH(' Data'!C29,'Week Tide'!$E$14:$E$17,1),1)</f>
        <v>0.33888888888888885</v>
      </c>
      <c r="K29" s="20">
        <f ca="1">INDEX('Week Tide'!E$14:E$17,MATCH(' Data'!C29,'Week Tide'!E$14:E$17,1)+1,1)</f>
        <v>0.60972222222222217</v>
      </c>
      <c r="L29" s="28">
        <f ca="1">INDEX('Week Tide'!E$14:E$21,MATCH(' Data'!C29,'Week Tide'!E$14:E$21,1)+4,1)</f>
        <v>6.6101049649999997</v>
      </c>
      <c r="M29" s="28">
        <f ca="1">INDEX('Week Tide'!E$14:E$21,MATCH(' Data'!C29,'Week Tide'!E$14:E$21,1)+5,1)</f>
        <v>1.83948182</v>
      </c>
      <c r="N29" s="27">
        <f t="shared" ca="1" si="5"/>
        <v>0.80256410256410282</v>
      </c>
      <c r="O29" s="15">
        <f t="shared" ca="1" si="6"/>
        <v>5.6682127030384635</v>
      </c>
    </row>
    <row r="30" spans="1:15" x14ac:dyDescent="0.25">
      <c r="A30" s="15" t="str">
        <f>Selection!A30</f>
        <v>Wilson Falls</v>
      </c>
      <c r="B30" s="18">
        <f>C29+(INDEX('Base Times'!$A$11:$H$18,MATCH(A29,'Base Times'!$A$11:$H$11,0),MATCH(A30,'Base Times'!$A$11:$A$18,0))/15+IF(INDEX(Marina!$A$11:$H$18,MATCH(A29,Marina!$A$11:$H$11,0),MATCH(A30,Marina!$A$11:$A$18,0))="N",0,0.05))/24</f>
        <v>0.59375</v>
      </c>
      <c r="C30" s="10">
        <f>(((VLOOKUP(A30,Sights!$A$12:$C$17,3,FALSE))/60)/24)+B30</f>
        <v>0.60468750000000004</v>
      </c>
      <c r="D30" s="20">
        <f ca="1">INDEX('Week Tide'!E$14:E$17,MATCH(' Data'!B30,'Week Tide'!E$14:E$17,1),1)</f>
        <v>0.33888888888888885</v>
      </c>
      <c r="E30" s="20">
        <f ca="1">INDEX('Week Tide'!E$14:E$17,MATCH(' Data'!B30,'Week Tide'!E$14:E$17,1)+1,1)</f>
        <v>0.60972222222222217</v>
      </c>
      <c r="F30" s="28">
        <f ca="1">INDEX('Week Tide'!E$14:E$21,MATCH(' Data'!B30,'Week Tide'!E$14:E$21,1)+4,1)</f>
        <v>6.6101049649999997</v>
      </c>
      <c r="G30" s="28">
        <f ca="1">INDEX('Week Tide'!E$14:E$21,MATCH(' Data'!B30,'Week Tide'!E$14:E$21,1)+5,1)</f>
        <v>1.83948182</v>
      </c>
      <c r="H30" s="27">
        <f t="shared" ca="1" si="4"/>
        <v>0.94102564102564124</v>
      </c>
      <c r="I30" s="15">
        <f t="shared" ca="1" si="7"/>
        <v>6.3287605231153865</v>
      </c>
      <c r="J30" s="20">
        <f ca="1">INDEX('Week Tide'!$E$14:$E$17,MATCH(' Data'!C30,'Week Tide'!$E$14:$E$17,1),1)</f>
        <v>0.33888888888888885</v>
      </c>
      <c r="K30" s="20">
        <f ca="1">INDEX('Week Tide'!E$14:E$17,MATCH(' Data'!C30,'Week Tide'!E$14:E$17,1)+1,1)</f>
        <v>0.60972222222222217</v>
      </c>
      <c r="L30" s="28">
        <f ca="1">INDEX('Week Tide'!E$14:E$21,MATCH(' Data'!C30,'Week Tide'!E$14:E$21,1)+4,1)</f>
        <v>6.6101049649999997</v>
      </c>
      <c r="M30" s="28">
        <f ca="1">INDEX('Week Tide'!E$14:E$21,MATCH(' Data'!C30,'Week Tide'!E$14:E$21,1)+5,1)</f>
        <v>1.83948182</v>
      </c>
      <c r="N30" s="27">
        <f t="shared" ca="1" si="5"/>
        <v>0.98141025641025681</v>
      </c>
      <c r="O30" s="15">
        <f t="shared" ca="1" si="6"/>
        <v>6.5214203039711567</v>
      </c>
    </row>
    <row r="31" spans="1:15" x14ac:dyDescent="0.25">
      <c r="A31" s="15" t="str">
        <f>Selection!A31</f>
        <v>Marina</v>
      </c>
      <c r="B31" s="18">
        <f>C30+(INDEX('Base Times'!$A$11:$H$18,MATCH(A30,'Base Times'!$A$11:$H$11,0),MATCH(A31,'Base Times'!$A$11:$A$18,0))/15+IF(INDEX(Marina!$A$11:$H$18,MATCH(A30,Marina!$A$11:$H$11,0),MATCH(A31,Marina!$A$11:$A$18,0))="N",0,0.05))/24</f>
        <v>0.62343750000000009</v>
      </c>
      <c r="C31" s="10">
        <f>B31</f>
        <v>0.62343750000000009</v>
      </c>
      <c r="D31" s="20">
        <f ca="1">INDEX('Week Tide'!E$14:E$17,MATCH(' Data'!B31,'Week Tide'!E$14:E$17,1),1)</f>
        <v>0.60972222222222217</v>
      </c>
      <c r="E31" s="20">
        <f ca="1">INDEX('Week Tide'!E$14:E$17,MATCH(' Data'!B31,'Week Tide'!E$14:E$17,1)+1,1)</f>
        <v>0.82847222222222217</v>
      </c>
      <c r="F31" s="28">
        <f ca="1">INDEX('Week Tide'!E$14:E$21,MATCH(' Data'!B31,'Week Tide'!E$14:E$21,1)+4,1)</f>
        <v>1.83948182</v>
      </c>
      <c r="G31" s="28">
        <f ca="1">INDEX('Week Tide'!E$14:E$21,MATCH(' Data'!B31,'Week Tide'!E$14:E$21,1)+5,1)</f>
        <v>6.6101049649999997</v>
      </c>
      <c r="H31" s="27">
        <f ca="1">(C31-D31)/(E31-D31)</f>
        <v>6.2698412698413364E-2</v>
      </c>
      <c r="I31" s="15">
        <f t="shared" ca="1" si="7"/>
        <v>6.3109944662261874</v>
      </c>
      <c r="J31" s="20">
        <f ca="1">INDEX('Week Tide'!$E$14:$E$17,MATCH(' Data'!C31,'Week Tide'!$E$14:$E$17,1),1)</f>
        <v>0.60972222222222217</v>
      </c>
      <c r="K31" s="20">
        <f ca="1">INDEX('Week Tide'!E$14:E$17,MATCH(' Data'!C31,'Week Tide'!E$14:E$17,1)+1,1)</f>
        <v>0.82847222222222217</v>
      </c>
      <c r="L31" s="28">
        <f ca="1">INDEX('Week Tide'!E$14:E$21,MATCH(' Data'!C31,'Week Tide'!E$14:E$21,1)+4,1)</f>
        <v>1.83948182</v>
      </c>
      <c r="M31" s="28">
        <f ca="1">INDEX('Week Tide'!E$14:E$21,MATCH(' Data'!C31,'Week Tide'!E$14:E$21,1)+5,1)</f>
        <v>6.6101049649999997</v>
      </c>
      <c r="N31" s="27">
        <f t="shared" ca="1" si="5"/>
        <v>6.2698412698413364E-2</v>
      </c>
      <c r="O31" s="15">
        <f t="shared" ca="1" si="6"/>
        <v>6.3109944662261874</v>
      </c>
    </row>
    <row r="33" spans="1:15" x14ac:dyDescent="0.25">
      <c r="A33" s="12" t="s">
        <v>51</v>
      </c>
      <c r="B33" s="22">
        <f>Selection!B33</f>
        <v>42573</v>
      </c>
    </row>
    <row r="34" spans="1:15" x14ac:dyDescent="0.25">
      <c r="A34" s="19"/>
      <c r="B34" s="19" t="s">
        <v>53</v>
      </c>
      <c r="C34" s="19" t="s">
        <v>54</v>
      </c>
      <c r="D34" s="19" t="s">
        <v>78</v>
      </c>
      <c r="E34" s="19" t="s">
        <v>79</v>
      </c>
      <c r="F34" s="19" t="s">
        <v>80</v>
      </c>
      <c r="G34" s="19" t="s">
        <v>81</v>
      </c>
      <c r="H34" s="19" t="s">
        <v>82</v>
      </c>
      <c r="I34" s="19" t="s">
        <v>56</v>
      </c>
      <c r="J34" s="19" t="s">
        <v>84</v>
      </c>
      <c r="K34" s="19" t="s">
        <v>85</v>
      </c>
      <c r="L34" s="19" t="s">
        <v>80</v>
      </c>
      <c r="M34" s="19" t="s">
        <v>81</v>
      </c>
      <c r="N34" s="19" t="s">
        <v>82</v>
      </c>
      <c r="O34" s="19" t="s">
        <v>83</v>
      </c>
    </row>
    <row r="35" spans="1:15" x14ac:dyDescent="0.25">
      <c r="A35" s="15" t="str">
        <f>Selection!A35</f>
        <v>Marina</v>
      </c>
      <c r="B35" s="17">
        <f>Selection!B35</f>
        <v>0.375</v>
      </c>
      <c r="C35" s="20">
        <f>Selection!C35</f>
        <v>0.375</v>
      </c>
      <c r="D35" s="20">
        <f ca="1">INDEX('Week Tide'!G$14:G$17,MATCH(' Data'!B35,'Week Tide'!G$14:G$17,1),1)</f>
        <v>0.14722222222222223</v>
      </c>
      <c r="E35" s="20">
        <f ca="1">INDEX('Week Tide'!G$14:G$17,MATCH(' Data'!B35,'Week Tide'!G$14:G$17,1)+1,1)</f>
        <v>0.40069444444444446</v>
      </c>
      <c r="F35" s="28">
        <f ca="1">INDEX('Week Tide'!G$14:G$21,MATCH(' Data'!B35,'Week Tide'!G$14:G$21,1)+4,1)</f>
        <v>1.7163118959999999</v>
      </c>
      <c r="G35" s="28">
        <f ca="1">INDEX('Week Tide'!G$14:G$21,MATCH(' Data'!B35,'Week Tide'!G$14:G$21,1)+5,1)</f>
        <v>7.4265847740000002</v>
      </c>
      <c r="H35" s="27">
        <f t="shared" ref="H35:H41" ca="1" si="8">(B35-D35)/(E35-D35)</f>
        <v>0.89863013698630134</v>
      </c>
      <c r="I35" s="15">
        <f ca="1">(F35-G35)*H35+G35</f>
        <v>2.2951614754136989</v>
      </c>
      <c r="J35" s="20">
        <f ca="1">INDEX('Week Tide'!$G$14:$G$17,MATCH(' Data'!C35,'Week Tide'!G$14:G$17,1),1)</f>
        <v>0.14722222222222223</v>
      </c>
      <c r="K35" s="20">
        <f ca="1">INDEX('Week Tide'!G$14:G$17,MATCH(' Data'!C35,'Week Tide'!G$14:G$17,1)+1,1)</f>
        <v>0.40069444444444446</v>
      </c>
      <c r="L35" s="28">
        <f ca="1">INDEX('Week Tide'!G$14:G$21,MATCH(' Data'!C35,'Week Tide'!G$14:G$21,1)+4,1)</f>
        <v>1.7163118959999999</v>
      </c>
      <c r="M35" s="28">
        <f ca="1">INDEX('Week Tide'!G$14:G$21,MATCH(' Data'!C35,'Week Tide'!G$14:G$21,1)+5,1)</f>
        <v>7.4265847740000002</v>
      </c>
      <c r="N35" s="27">
        <f t="shared" ref="N35:N42" ca="1" si="9">(C35-J35)/(K35-J35)</f>
        <v>0.89863013698630134</v>
      </c>
      <c r="O35" s="15">
        <f t="shared" ref="O35:O42" ca="1" si="10">(L35-M35)*N35+M35</f>
        <v>2.2951614754136989</v>
      </c>
    </row>
    <row r="36" spans="1:15" x14ac:dyDescent="0.25">
      <c r="A36" s="15" t="str">
        <f>Selection!A36</f>
        <v>Matildas Secret</v>
      </c>
      <c r="B36" s="18">
        <f>C35+(INDEX('Base Times'!$A$11:$H$18,MATCH(A35,'Base Times'!$A$11:$H$11,0),MATCH(A36,'Base Times'!$A$11:$A$18,0))/15+IF(INDEX(Marina!$A$11:$H$18,MATCH(A35,Marina!$A$11:$H$11,0),MATCH(A36,Marina!$A$11:$A$18,0))="N",0,0.05))/24</f>
        <v>0.39166666666666666</v>
      </c>
      <c r="C36" s="10">
        <f>(((VLOOKUP(A36,Sights!$A$12:$C$17,3,FALSE))/60)/24)+B36</f>
        <v>0.40208333333333335</v>
      </c>
      <c r="D36" s="20">
        <f ca="1">INDEX('Week Tide'!G$14:G$17,MATCH(' Data'!B36,'Week Tide'!G$14:G$17,1),1)</f>
        <v>0.14722222222222223</v>
      </c>
      <c r="E36" s="20">
        <f ca="1">INDEX('Week Tide'!G$14:G$17,MATCH(' Data'!B36,'Week Tide'!G$14:G$17,1)+1,1)</f>
        <v>0.40069444444444446</v>
      </c>
      <c r="F36" s="28">
        <f ca="1">INDEX('Week Tide'!G$14:G$21,MATCH(' Data'!B36,'Week Tide'!G$14:G$21,1)+4,1)</f>
        <v>1.7163118959999999</v>
      </c>
      <c r="G36" s="28">
        <f ca="1">INDEX('Week Tide'!G$14:G$21,MATCH(' Data'!B36,'Week Tide'!G$14:G$21,1)+5,1)</f>
        <v>7.4265847740000002</v>
      </c>
      <c r="H36" s="27">
        <f t="shared" ca="1" si="8"/>
        <v>0.96438356164383565</v>
      </c>
      <c r="I36" s="15">
        <f t="shared" ref="I36:I42" ca="1" si="11">(F36-G36)*H36+G36</f>
        <v>1.9196914779561638</v>
      </c>
      <c r="J36" s="20">
        <f ca="1">INDEX('Week Tide'!$G$14:$G$17,MATCH(' Data'!C36,'Week Tide'!G$14:G$17,1),1)</f>
        <v>0.40069444444444446</v>
      </c>
      <c r="K36" s="20">
        <f ca="1">INDEX('Week Tide'!G$14:G$17,MATCH(' Data'!C36,'Week Tide'!G$14:G$17,1)+1,1)</f>
        <v>0.67152777777777783</v>
      </c>
      <c r="L36" s="28">
        <f ca="1">INDEX('Week Tide'!G$14:G$21,MATCH(' Data'!C36,'Week Tide'!G$14:G$21,1)+4,1)</f>
        <v>7.4265847740000002</v>
      </c>
      <c r="M36" s="28">
        <f ca="1">INDEX('Week Tide'!G$14:G$21,MATCH(' Data'!C36,'Week Tide'!G$14:G$21,1)+5,1)</f>
        <v>1.4163118960000001</v>
      </c>
      <c r="N36" s="27">
        <f t="shared" ca="1" si="9"/>
        <v>5.1282051282051091E-3</v>
      </c>
      <c r="O36" s="15">
        <f t="shared" ca="1" si="10"/>
        <v>1.4471338081948717</v>
      </c>
    </row>
    <row r="37" spans="1:15" x14ac:dyDescent="0.25">
      <c r="A37" s="15" t="str">
        <f>Selection!A37</f>
        <v>Seal Flats</v>
      </c>
      <c r="B37" s="18">
        <f>C36+(INDEX('Base Times'!$A$11:$H$18,MATCH(A36,'Base Times'!$A$11:$H$11,0),MATCH(A37,'Base Times'!$A$11:$A$18,0))/15+IF(INDEX(Marina!$A$11:$H$18,MATCH(A36,Marina!$A$11:$H$11,0),MATCH(A37,Marina!$A$11:$A$18,0))="N",0,0.05))/24</f>
        <v>0.4375</v>
      </c>
      <c r="C37" s="10">
        <f>(((VLOOKUP(A37,Sights!$A$12:$C$17,3,FALSE))/60)/24)+B37</f>
        <v>0.45104166666666667</v>
      </c>
      <c r="D37" s="20">
        <f ca="1">INDEX('Week Tide'!G$14:G$17,MATCH(' Data'!B37,'Week Tide'!G$14:G$17,1),1)</f>
        <v>0.40069444444444446</v>
      </c>
      <c r="E37" s="20">
        <f ca="1">INDEX('Week Tide'!G$14:G$17,MATCH(' Data'!B37,'Week Tide'!G$14:G$17,1)+1,1)</f>
        <v>0.67152777777777783</v>
      </c>
      <c r="F37" s="28">
        <f ca="1">INDEX('Week Tide'!G$14:G$21,MATCH(' Data'!B37,'Week Tide'!G$14:G$21,1)+4,1)</f>
        <v>7.4265847740000002</v>
      </c>
      <c r="G37" s="28">
        <f ca="1">INDEX('Week Tide'!G$14:G$21,MATCH(' Data'!B37,'Week Tide'!G$14:G$21,1)+5,1)</f>
        <v>1.4163118960000001</v>
      </c>
      <c r="H37" s="27">
        <f t="shared" ca="1" si="8"/>
        <v>0.1358974358974358</v>
      </c>
      <c r="I37" s="15">
        <f t="shared" ca="1" si="11"/>
        <v>2.2330925691641021</v>
      </c>
      <c r="J37" s="20">
        <f ca="1">INDEX('Week Tide'!$G$14:$G$17,MATCH(' Data'!C37,'Week Tide'!G$14:G$17,1),1)</f>
        <v>0.40069444444444446</v>
      </c>
      <c r="K37" s="20">
        <f ca="1">INDEX('Week Tide'!G$14:G$17,MATCH(' Data'!C37,'Week Tide'!G$14:G$17,1)+1,1)</f>
        <v>0.67152777777777783</v>
      </c>
      <c r="L37" s="28">
        <f ca="1">INDEX('Week Tide'!G$14:G$21,MATCH(' Data'!C37,'Week Tide'!G$14:G$21,1)+4,1)</f>
        <v>7.4265847740000002</v>
      </c>
      <c r="M37" s="28">
        <f ca="1">INDEX('Week Tide'!G$14:G$21,MATCH(' Data'!C37,'Week Tide'!G$14:G$21,1)+5,1)</f>
        <v>1.4163118960000001</v>
      </c>
      <c r="N37" s="27">
        <f t="shared" ca="1" si="9"/>
        <v>0.18589743589743582</v>
      </c>
      <c r="O37" s="15">
        <f t="shared" ca="1" si="10"/>
        <v>2.5336062130641022</v>
      </c>
    </row>
    <row r="38" spans="1:15" x14ac:dyDescent="0.25">
      <c r="A38" s="15" t="str">
        <f>Selection!A38</f>
        <v>Wilson Falls</v>
      </c>
      <c r="B38" s="18">
        <f>C37+(INDEX('Base Times'!$A$11:$H$18,MATCH(A37,'Base Times'!$A$11:$H$11,0),MATCH(A38,'Base Times'!$A$11:$A$18,0))/15+IF(INDEX(Marina!$A$11:$H$18,MATCH(A37,Marina!$A$11:$H$11,0),MATCH(A38,Marina!$A$11:$A$18,0))="N",0,0.05))/24</f>
        <v>0.49062500000000003</v>
      </c>
      <c r="C38" s="10">
        <f>(((VLOOKUP(A38,Sights!$A$12:$C$17,3,FALSE))/60)/24)+B38</f>
        <v>0.50156250000000002</v>
      </c>
      <c r="D38" s="20">
        <f ca="1">INDEX('Week Tide'!G$14:G$17,MATCH(' Data'!B38,'Week Tide'!G$14:G$17,1),1)</f>
        <v>0.40069444444444446</v>
      </c>
      <c r="E38" s="20">
        <f ca="1">INDEX('Week Tide'!G$14:G$17,MATCH(' Data'!B38,'Week Tide'!G$14:G$17,1)+1,1)</f>
        <v>0.67152777777777783</v>
      </c>
      <c r="F38" s="28">
        <f ca="1">INDEX('Week Tide'!G$14:G$21,MATCH(' Data'!B38,'Week Tide'!G$14:G$21,1)+4,1)</f>
        <v>7.4265847740000002</v>
      </c>
      <c r="G38" s="28">
        <f ca="1">INDEX('Week Tide'!G$14:G$21,MATCH(' Data'!B38,'Week Tide'!G$14:G$21,1)+5,1)</f>
        <v>1.4163118960000001</v>
      </c>
      <c r="H38" s="27">
        <f t="shared" ca="1" si="8"/>
        <v>0.33205128205128204</v>
      </c>
      <c r="I38" s="15">
        <f t="shared" ca="1" si="11"/>
        <v>3.412030710617949</v>
      </c>
      <c r="J38" s="20">
        <f ca="1">INDEX('Week Tide'!$G$14:$G$17,MATCH(' Data'!C38,'Week Tide'!G$14:G$17,1),1)</f>
        <v>0.40069444444444446</v>
      </c>
      <c r="K38" s="20">
        <f ca="1">INDEX('Week Tide'!G$14:G$17,MATCH(' Data'!C38,'Week Tide'!G$14:G$17,1)+1,1)</f>
        <v>0.67152777777777783</v>
      </c>
      <c r="L38" s="28">
        <f ca="1">INDEX('Week Tide'!G$14:G$21,MATCH(' Data'!C38,'Week Tide'!G$14:G$21,1)+4,1)</f>
        <v>7.4265847740000002</v>
      </c>
      <c r="M38" s="28">
        <f ca="1">INDEX('Week Tide'!G$14:G$21,MATCH(' Data'!C38,'Week Tide'!G$14:G$21,1)+5,1)</f>
        <v>1.4163118960000001</v>
      </c>
      <c r="N38" s="27">
        <f t="shared" ca="1" si="9"/>
        <v>0.37243589743589739</v>
      </c>
      <c r="O38" s="15">
        <f t="shared" ca="1" si="10"/>
        <v>3.6547532691525637</v>
      </c>
    </row>
    <row r="39" spans="1:15" x14ac:dyDescent="0.25">
      <c r="A39" s="15" t="str">
        <f>Selection!A39</f>
        <v>Upton Manor</v>
      </c>
      <c r="B39" s="18">
        <f>C38+(INDEX('Base Times'!$A$11:$H$18,MATCH(A38,'Base Times'!$A$11:$H$11,0),MATCH(A39,'Base Times'!$A$11:$A$18,0))/15+IF(INDEX(Marina!$A$11:$H$18,MATCH(A38,Marina!$A$11:$H$11,0),MATCH(A39,Marina!$A$11:$A$18,0))="N",0,0.05))/24</f>
        <v>0.51406249999999998</v>
      </c>
      <c r="C39" s="10">
        <f>(((VLOOKUP(A39,Sights!$A$12:$C$17,3,FALSE))/60)/24)+B39</f>
        <v>0.52656249999999993</v>
      </c>
      <c r="D39" s="20">
        <f ca="1">INDEX('Week Tide'!G$14:G$17,MATCH(' Data'!B39,'Week Tide'!G$14:G$17,1),1)</f>
        <v>0.40069444444444446</v>
      </c>
      <c r="E39" s="20">
        <f ca="1">INDEX('Week Tide'!G$14:G$17,MATCH(' Data'!B39,'Week Tide'!G$14:G$17,1)+1,1)</f>
        <v>0.67152777777777783</v>
      </c>
      <c r="F39" s="28">
        <f ca="1">INDEX('Week Tide'!G$14:G$21,MATCH(' Data'!B39,'Week Tide'!G$14:G$21,1)+4,1)</f>
        <v>7.4265847740000002</v>
      </c>
      <c r="G39" s="28">
        <f ca="1">INDEX('Week Tide'!G$14:G$21,MATCH(' Data'!B39,'Week Tide'!G$14:G$21,1)+5,1)</f>
        <v>1.4163118960000001</v>
      </c>
      <c r="H39" s="27">
        <f t="shared" ca="1" si="8"/>
        <v>0.41858974358974338</v>
      </c>
      <c r="I39" s="15">
        <f t="shared" ca="1" si="11"/>
        <v>3.9321504789064088</v>
      </c>
      <c r="J39" s="20">
        <f ca="1">INDEX('Week Tide'!$G$14:$G$17,MATCH(' Data'!C39,'Week Tide'!G$14:G$17,1),1)</f>
        <v>0.40069444444444446</v>
      </c>
      <c r="K39" s="20">
        <f ca="1">INDEX('Week Tide'!G$14:G$17,MATCH(' Data'!C39,'Week Tide'!G$14:G$17,1)+1,1)</f>
        <v>0.67152777777777783</v>
      </c>
      <c r="L39" s="28">
        <f ca="1">INDEX('Week Tide'!G$14:G$21,MATCH(' Data'!C39,'Week Tide'!G$14:G$21,1)+4,1)</f>
        <v>7.4265847740000002</v>
      </c>
      <c r="M39" s="28">
        <f ca="1">INDEX('Week Tide'!G$14:G$21,MATCH(' Data'!C39,'Week Tide'!G$14:G$21,1)+5,1)</f>
        <v>1.4163118960000001</v>
      </c>
      <c r="N39" s="27">
        <f t="shared" ca="1" si="9"/>
        <v>0.46474358974358937</v>
      </c>
      <c r="O39" s="27">
        <f t="shared" ca="1" si="10"/>
        <v>4.2095476886602547</v>
      </c>
    </row>
    <row r="40" spans="1:15" x14ac:dyDescent="0.25">
      <c r="A40" s="15" t="str">
        <f>Selection!A40</f>
        <v>Bird Sanctuary</v>
      </c>
      <c r="B40" s="18">
        <f>C39+(INDEX('Base Times'!$A$11:$H$18,MATCH(A39,'Base Times'!$A$11:$H$11,0),MATCH(A40,'Base Times'!$A$11:$A$18,0))/15+IF(INDEX(Marina!$A$11:$H$18,MATCH(A39,Marina!$A$11:$H$11,0),MATCH(A40,Marina!$A$11:$A$18,0))="N",0,0.05))/24</f>
        <v>0.5473958333333333</v>
      </c>
      <c r="C40" s="10">
        <f>(((VLOOKUP(A40,Sights!$A$12:$C$17,3,FALSE))/60)/24)+B40</f>
        <v>0.55833333333333335</v>
      </c>
      <c r="D40" s="20">
        <f ca="1">INDEX('Week Tide'!G$14:G$17,MATCH(' Data'!B40,'Week Tide'!G$14:G$17,1),1)</f>
        <v>0.40069444444444446</v>
      </c>
      <c r="E40" s="20">
        <f ca="1">INDEX('Week Tide'!G$14:G$17,MATCH(' Data'!B40,'Week Tide'!G$14:G$17,1)+1,1)</f>
        <v>0.67152777777777783</v>
      </c>
      <c r="F40" s="28">
        <f ca="1">INDEX('Week Tide'!G$14:G$21,MATCH(' Data'!B40,'Week Tide'!G$14:G$21,1)+4,1)</f>
        <v>7.4265847740000002</v>
      </c>
      <c r="G40" s="28">
        <f ca="1">INDEX('Week Tide'!G$14:G$21,MATCH(' Data'!B40,'Week Tide'!G$14:G$21,1)+5,1)</f>
        <v>1.4163118960000001</v>
      </c>
      <c r="H40" s="27">
        <f t="shared" ca="1" si="8"/>
        <v>0.54166666666666641</v>
      </c>
      <c r="I40" s="15">
        <f t="shared" ca="1" si="11"/>
        <v>4.6718763715833322</v>
      </c>
      <c r="J40" s="20">
        <f ca="1">INDEX('Week Tide'!$G$14:$G$17,MATCH(' Data'!C40,'Week Tide'!G$14:G$17,1),1)</f>
        <v>0.40069444444444446</v>
      </c>
      <c r="K40" s="20">
        <f ca="1">INDEX('Week Tide'!G$14:G$17,MATCH(' Data'!C40,'Week Tide'!G$14:G$17,1)+1,1)</f>
        <v>0.67152777777777783</v>
      </c>
      <c r="L40" s="28">
        <f ca="1">INDEX('Week Tide'!G$14:G$21,MATCH(' Data'!C40,'Week Tide'!G$14:G$21,1)+4,1)</f>
        <v>7.4265847740000002</v>
      </c>
      <c r="M40" s="28">
        <f ca="1">INDEX('Week Tide'!G$14:G$21,MATCH(' Data'!C40,'Week Tide'!G$14:G$21,1)+5,1)</f>
        <v>1.4163118960000001</v>
      </c>
      <c r="N40" s="27">
        <f t="shared" ca="1" si="9"/>
        <v>0.58205128205128198</v>
      </c>
      <c r="O40" s="15">
        <f t="shared" ca="1" si="10"/>
        <v>4.9145989301179487</v>
      </c>
    </row>
    <row r="41" spans="1:15" x14ac:dyDescent="0.25">
      <c r="A41" s="15" t="str">
        <f>Selection!A41</f>
        <v>Fingals Cave</v>
      </c>
      <c r="B41" s="18">
        <f>C40+(INDEX('Base Times'!$A$11:$H$18,MATCH(A40,'Base Times'!$A$11:$H$11,0),MATCH(A41,'Base Times'!$A$11:$A$18,0))/15+IF(INDEX(Marina!$A$11:$H$18,MATCH(A40,Marina!$A$11:$H$11,0),MATCH(A41,Marina!$A$11:$A$18,0))="N",0,0.05))/24</f>
        <v>0.57291666666666663</v>
      </c>
      <c r="C41" s="10">
        <f>(((VLOOKUP(A41,Sights!$A$12:$C$17,3,FALSE))/60)/24)+B41</f>
        <v>0.58385416666666667</v>
      </c>
      <c r="D41" s="20">
        <f ca="1">INDEX('Week Tide'!G$14:G$17,MATCH(' Data'!B41,'Week Tide'!G$14:G$17,1),1)</f>
        <v>0.40069444444444446</v>
      </c>
      <c r="E41" s="20">
        <f ca="1">INDEX('Week Tide'!G$14:G$17,MATCH(' Data'!B41,'Week Tide'!G$14:G$17,1)+1,1)</f>
        <v>0.67152777777777783</v>
      </c>
      <c r="F41" s="28">
        <f ca="1">INDEX('Week Tide'!G$14:G$21,MATCH(' Data'!B41,'Week Tide'!G$14:G$21,1)+4,1)</f>
        <v>7.4265847740000002</v>
      </c>
      <c r="G41" s="28">
        <f ca="1">INDEX('Week Tide'!G$14:G$21,MATCH(' Data'!B41,'Week Tide'!G$14:G$21,1)+5,1)</f>
        <v>1.4163118960000001</v>
      </c>
      <c r="H41" s="27">
        <f t="shared" ca="1" si="8"/>
        <v>0.63589743589743564</v>
      </c>
      <c r="I41" s="15">
        <f t="shared" ca="1" si="11"/>
        <v>5.238229008164101</v>
      </c>
      <c r="J41" s="20">
        <f ca="1">INDEX('Week Tide'!$G$14:$G$17,MATCH(' Data'!C41,'Week Tide'!G$14:G$17,1),1)</f>
        <v>0.40069444444444446</v>
      </c>
      <c r="K41" s="20">
        <f ca="1">INDEX('Week Tide'!G$14:G$17,MATCH(' Data'!C41,'Week Tide'!G$14:G$17,1)+1,1)</f>
        <v>0.67152777777777783</v>
      </c>
      <c r="L41" s="28">
        <f ca="1">INDEX('Week Tide'!G$14:G$21,MATCH(' Data'!C41,'Week Tide'!G$14:G$21,1)+4,1)</f>
        <v>7.4265847740000002</v>
      </c>
      <c r="M41" s="28">
        <f ca="1">INDEX('Week Tide'!G$14:G$21,MATCH(' Data'!C41,'Week Tide'!G$14:G$21,1)+5,1)</f>
        <v>1.4163118960000001</v>
      </c>
      <c r="N41" s="27">
        <f t="shared" ca="1" si="9"/>
        <v>0.6762820512820511</v>
      </c>
      <c r="O41" s="15">
        <f t="shared" ca="1" si="10"/>
        <v>5.4809515666987165</v>
      </c>
    </row>
    <row r="42" spans="1:15" x14ac:dyDescent="0.25">
      <c r="A42" s="15" t="str">
        <f>Selection!A42</f>
        <v>Marina</v>
      </c>
      <c r="B42" s="18">
        <f>C41+(INDEX('Base Times'!$A$11:$H$18,MATCH(A41,'Base Times'!$A$11:$H$11,0),MATCH(A42,'Base Times'!$A$11:$A$18,0))/15+IF(INDEX(Marina!$A$11:$H$18,MATCH(A41,Marina!$A$11:$H$11,0),MATCH(A42,Marina!$A$11:$A$18,0))="N",0,0.05))/24</f>
        <v>0.5942708333333333</v>
      </c>
      <c r="C42" s="10">
        <f>B42</f>
        <v>0.5942708333333333</v>
      </c>
      <c r="D42" s="20">
        <f ca="1">INDEX('Week Tide'!G$14:G$17,MATCH(' Data'!B42,'Week Tide'!G$14:G$17,1),1)</f>
        <v>0.40069444444444446</v>
      </c>
      <c r="E42" s="20">
        <f ca="1">INDEX('Week Tide'!G$14:G$17,MATCH(' Data'!B42,'Week Tide'!G$14:G$17,1)+1,1)</f>
        <v>0.67152777777777783</v>
      </c>
      <c r="F42" s="28">
        <f ca="1">INDEX('Week Tide'!G$14:G$21,MATCH(' Data'!B42,'Week Tide'!G$14:G$21,1)+4,1)</f>
        <v>7.4265847740000002</v>
      </c>
      <c r="G42" s="28">
        <f ca="1">INDEX('Week Tide'!G$14:G$21,MATCH(' Data'!B42,'Week Tide'!G$14:G$21,1)+5,1)</f>
        <v>1.4163118960000001</v>
      </c>
      <c r="H42" s="27">
        <f ca="1">(C42-D42)/(E42-D42)</f>
        <v>0.71474358974358942</v>
      </c>
      <c r="I42" s="15">
        <f t="shared" ca="1" si="11"/>
        <v>5.7121159081602544</v>
      </c>
      <c r="J42" s="20">
        <f ca="1">INDEX('Week Tide'!$G$14:$G$17,MATCH(' Data'!C42,'Week Tide'!G$14:G$17,1),1)</f>
        <v>0.40069444444444446</v>
      </c>
      <c r="K42" s="20">
        <f ca="1">INDEX('Week Tide'!G$14:G$17,MATCH(' Data'!C42,'Week Tide'!G$14:G$17,1)+1,1)</f>
        <v>0.67152777777777783</v>
      </c>
      <c r="L42" s="28">
        <f ca="1">INDEX('Week Tide'!G$14:G$21,MATCH(' Data'!C42,'Week Tide'!G$14:G$21,1)+4,1)</f>
        <v>7.4265847740000002</v>
      </c>
      <c r="M42" s="28">
        <f ca="1">INDEX('Week Tide'!G$14:G$21,MATCH(' Data'!C42,'Week Tide'!G$14:G$21,1)+5,1)</f>
        <v>1.4163118960000001</v>
      </c>
      <c r="N42" s="27">
        <f t="shared" ca="1" si="9"/>
        <v>0.71474358974358942</v>
      </c>
      <c r="O42" s="15">
        <f t="shared" ca="1" si="10"/>
        <v>5.7121159081602544</v>
      </c>
    </row>
  </sheetData>
  <printOptions headings="1" gridLines="1"/>
  <pageMargins left="0.7" right="0.7" top="0.75" bottom="0.75" header="0.3" footer="0.3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opLeftCell="C1" zoomScaleNormal="100" workbookViewId="0">
      <selection activeCell="H16" sqref="H16"/>
    </sheetView>
  </sheetViews>
  <sheetFormatPr defaultRowHeight="15" x14ac:dyDescent="0.25"/>
  <cols>
    <col min="1" max="1" width="9.140625" style="5"/>
    <col min="2" max="3" width="10.85546875" style="12" bestFit="1" customWidth="1"/>
    <col min="4" max="4" width="10.85546875" style="5" bestFit="1" customWidth="1"/>
    <col min="5" max="5" width="10.85546875" style="5" customWidth="1"/>
    <col min="6" max="6" width="11.5703125" style="5" bestFit="1" customWidth="1"/>
    <col min="7" max="7" width="10.85546875" style="5" bestFit="1" customWidth="1"/>
    <col min="8" max="8" width="10.7109375" style="5" customWidth="1"/>
    <col min="9" max="9" width="10.85546875" style="5" bestFit="1" customWidth="1"/>
    <col min="10" max="19" width="9.140625" style="5"/>
    <col min="20" max="21" width="9.140625" style="5" hidden="1" customWidth="1"/>
    <col min="22" max="16384" width="9.140625" style="5"/>
  </cols>
  <sheetData>
    <row r="1" spans="1:21" x14ac:dyDescent="0.25">
      <c r="H1" s="11" t="s">
        <v>99</v>
      </c>
      <c r="T1" s="5">
        <v>1</v>
      </c>
      <c r="U1" s="5" t="s">
        <v>68</v>
      </c>
    </row>
    <row r="2" spans="1:21" x14ac:dyDescent="0.25">
      <c r="H2" s="12" t="s">
        <v>36</v>
      </c>
      <c r="T2" s="5">
        <v>2</v>
      </c>
      <c r="U2" s="5" t="s">
        <v>69</v>
      </c>
    </row>
    <row r="3" spans="1:21" x14ac:dyDescent="0.25">
      <c r="H3" s="12" t="s">
        <v>37</v>
      </c>
      <c r="T3" s="5">
        <v>3</v>
      </c>
      <c r="U3" s="5" t="s">
        <v>70</v>
      </c>
    </row>
    <row r="4" spans="1:21" x14ac:dyDescent="0.25">
      <c r="H4" s="12" t="s">
        <v>96</v>
      </c>
      <c r="T4" s="5">
        <v>4</v>
      </c>
      <c r="U4" s="5" t="s">
        <v>71</v>
      </c>
    </row>
    <row r="5" spans="1:21" x14ac:dyDescent="0.25">
      <c r="H5" s="12" t="s">
        <v>55</v>
      </c>
      <c r="T5" s="5">
        <v>5</v>
      </c>
      <c r="U5" s="5" t="s">
        <v>72</v>
      </c>
    </row>
    <row r="6" spans="1:21" x14ac:dyDescent="0.25">
      <c r="H6" s="12" t="s">
        <v>38</v>
      </c>
      <c r="T6" s="5">
        <v>6</v>
      </c>
      <c r="U6" s="5" t="s">
        <v>73</v>
      </c>
    </row>
    <row r="7" spans="1:21" x14ac:dyDescent="0.25">
      <c r="H7" s="12" t="s">
        <v>39</v>
      </c>
      <c r="T7" s="5">
        <v>7</v>
      </c>
      <c r="U7" s="5" t="s">
        <v>66</v>
      </c>
    </row>
    <row r="8" spans="1:21" x14ac:dyDescent="0.25">
      <c r="T8" s="5">
        <v>8</v>
      </c>
      <c r="U8" s="5" t="s">
        <v>67</v>
      </c>
    </row>
    <row r="9" spans="1:21" x14ac:dyDescent="0.25">
      <c r="T9" s="5">
        <v>9</v>
      </c>
      <c r="U9" s="5" t="s">
        <v>74</v>
      </c>
    </row>
    <row r="10" spans="1:21" x14ac:dyDescent="0.25">
      <c r="T10" s="5">
        <v>10</v>
      </c>
      <c r="U10" s="5" t="s">
        <v>75</v>
      </c>
    </row>
    <row r="11" spans="1:21" x14ac:dyDescent="0.25">
      <c r="B11" s="19" t="s">
        <v>46</v>
      </c>
      <c r="C11" s="19" t="s">
        <v>47</v>
      </c>
      <c r="D11" s="19" t="s">
        <v>48</v>
      </c>
      <c r="E11" s="19" t="s">
        <v>49</v>
      </c>
      <c r="F11" s="19" t="s">
        <v>50</v>
      </c>
      <c r="G11" s="19" t="s">
        <v>51</v>
      </c>
      <c r="H11" s="19" t="s">
        <v>52</v>
      </c>
      <c r="I11" s="19"/>
      <c r="T11" s="5">
        <v>11</v>
      </c>
      <c r="U11" s="5" t="s">
        <v>76</v>
      </c>
    </row>
    <row r="12" spans="1:21" s="41" customFormat="1" x14ac:dyDescent="0.25">
      <c r="B12" s="42">
        <f>' Data'!B11</f>
        <v>42569</v>
      </c>
      <c r="C12" s="43">
        <f>B12+1</f>
        <v>42570</v>
      </c>
      <c r="D12" s="43">
        <f t="shared" ref="D12:H12" si="0">C12+1</f>
        <v>42571</v>
      </c>
      <c r="E12" s="43">
        <f t="shared" si="0"/>
        <v>42572</v>
      </c>
      <c r="F12" s="43">
        <f t="shared" si="0"/>
        <v>42573</v>
      </c>
      <c r="G12" s="43">
        <f t="shared" si="0"/>
        <v>42574</v>
      </c>
      <c r="H12" s="43">
        <f t="shared" si="0"/>
        <v>42575</v>
      </c>
      <c r="I12" s="43"/>
      <c r="J12" s="43"/>
      <c r="T12" s="23">
        <v>12</v>
      </c>
      <c r="U12" s="40" t="s">
        <v>77</v>
      </c>
    </row>
    <row r="13" spans="1:21" s="16" customFormat="1" x14ac:dyDescent="0.25">
      <c r="B13" s="27" t="str">
        <f>VLOOKUP(MONTH(B12),$T$1:$U$12,2,FALSE)</f>
        <v>July</v>
      </c>
      <c r="C13" s="27" t="str">
        <f t="shared" ref="C13:H13" si="1">VLOOKUP(MONTH(C12),$T$1:$U$12,2,FALSE)</f>
        <v>July</v>
      </c>
      <c r="D13" s="27" t="str">
        <f t="shared" si="1"/>
        <v>July</v>
      </c>
      <c r="E13" s="27" t="str">
        <f t="shared" si="1"/>
        <v>July</v>
      </c>
      <c r="F13" s="27" t="str">
        <f t="shared" si="1"/>
        <v>July</v>
      </c>
      <c r="G13" s="27" t="str">
        <f t="shared" si="1"/>
        <v>July</v>
      </c>
      <c r="H13" s="27" t="str">
        <f t="shared" si="1"/>
        <v>July</v>
      </c>
      <c r="I13" s="27"/>
      <c r="U13" s="44" t="s">
        <v>100</v>
      </c>
    </row>
    <row r="14" spans="1:21" x14ac:dyDescent="0.25">
      <c r="A14" s="5" t="s">
        <v>58</v>
      </c>
      <c r="B14" s="18">
        <f ca="1">HLOOKUP(B$12,INDIRECT(B$13),17,FALSE)</f>
        <v>0.22500000000000001</v>
      </c>
      <c r="C14" s="18">
        <f t="shared" ref="C14:H14" ca="1" si="2">HLOOKUP(C$12,INDIRECT(C$13),17,FALSE)</f>
        <v>1.2499999999999999E-2</v>
      </c>
      <c r="D14" s="18">
        <f t="shared" ca="1" si="2"/>
        <v>5.0694444444444452E-2</v>
      </c>
      <c r="E14" s="18">
        <f t="shared" ca="1" si="2"/>
        <v>8.5416666666666655E-2</v>
      </c>
      <c r="F14" s="18">
        <f t="shared" ca="1" si="2"/>
        <v>0.11805555555555557</v>
      </c>
      <c r="G14" s="18">
        <f t="shared" ca="1" si="2"/>
        <v>0.14722222222222223</v>
      </c>
      <c r="H14" s="18">
        <f t="shared" ca="1" si="2"/>
        <v>0.1763888888888889</v>
      </c>
      <c r="I14" s="18"/>
    </row>
    <row r="15" spans="1:21" x14ac:dyDescent="0.25">
      <c r="A15" s="5" t="s">
        <v>59</v>
      </c>
      <c r="B15" s="18">
        <f ca="1">HLOOKUP(B$12,INDIRECT(B$13),18,FALSE)</f>
        <v>0.49583333333333335</v>
      </c>
      <c r="C15" s="18">
        <f t="shared" ref="C15:H15" ca="1" si="3">HLOOKUP(C$12,INDIRECT(C$13),18,FALSE)</f>
        <v>0.26597222222222222</v>
      </c>
      <c r="D15" s="18">
        <f t="shared" ca="1" si="3"/>
        <v>0.30416666666666664</v>
      </c>
      <c r="E15" s="18">
        <f t="shared" ca="1" si="3"/>
        <v>0.33888888888888885</v>
      </c>
      <c r="F15" s="18">
        <f t="shared" ca="1" si="3"/>
        <v>0.37152777777777773</v>
      </c>
      <c r="G15" s="18">
        <f t="shared" ca="1" si="3"/>
        <v>0.40069444444444446</v>
      </c>
      <c r="H15" s="18">
        <f t="shared" ca="1" si="3"/>
        <v>0.42986111111111108</v>
      </c>
      <c r="I15" s="18"/>
    </row>
    <row r="16" spans="1:21" x14ac:dyDescent="0.25">
      <c r="A16" s="5" t="s">
        <v>60</v>
      </c>
      <c r="B16" s="18">
        <f ca="1">HLOOKUP(B$12,INDIRECT(B$13),19,FALSE)</f>
        <v>0.71458333333333324</v>
      </c>
      <c r="C16" s="18">
        <f t="shared" ref="C16:H16" ca="1" si="4">HLOOKUP(C$12,INDIRECT(C$13),19,FALSE)</f>
        <v>0.53680555555555554</v>
      </c>
      <c r="D16" s="18">
        <f t="shared" ca="1" si="4"/>
        <v>0.57500000000000007</v>
      </c>
      <c r="E16" s="18">
        <f t="shared" ca="1" si="4"/>
        <v>0.60972222222222217</v>
      </c>
      <c r="F16" s="18">
        <f t="shared" ca="1" si="4"/>
        <v>0.64236111111111105</v>
      </c>
      <c r="G16" s="18">
        <f t="shared" ca="1" si="4"/>
        <v>0.67152777777777783</v>
      </c>
      <c r="H16" s="18">
        <f t="shared" ca="1" si="4"/>
        <v>0.7006944444444444</v>
      </c>
      <c r="I16" s="18"/>
    </row>
    <row r="17" spans="1:9" x14ac:dyDescent="0.25">
      <c r="A17" s="5" t="s">
        <v>61</v>
      </c>
      <c r="B17" s="18">
        <f ca="1">HLOOKUP(B$12,INDIRECT(B$13),20,FALSE)</f>
        <v>0.97152777777777777</v>
      </c>
      <c r="C17" s="18">
        <f t="shared" ref="C17:H17" ca="1" si="5">HLOOKUP(C$12,INDIRECT(C$13),20,FALSE)</f>
        <v>0.75555555555555554</v>
      </c>
      <c r="D17" s="18">
        <f t="shared" ca="1" si="5"/>
        <v>0.79375000000000007</v>
      </c>
      <c r="E17" s="18">
        <f t="shared" ca="1" si="5"/>
        <v>0.82847222222222217</v>
      </c>
      <c r="F17" s="18">
        <f t="shared" ca="1" si="5"/>
        <v>0.86111111111111116</v>
      </c>
      <c r="G17" s="18">
        <f t="shared" ca="1" si="5"/>
        <v>0.89027777777777783</v>
      </c>
      <c r="H17" s="18">
        <f t="shared" ca="1" si="5"/>
        <v>0.9194444444444444</v>
      </c>
      <c r="I17" s="18"/>
    </row>
    <row r="18" spans="1:9" x14ac:dyDescent="0.25">
      <c r="A18" s="5" t="s">
        <v>62</v>
      </c>
      <c r="B18" s="24">
        <f ca="1">HLOOKUP(B$12,INDIRECT(B$13),21,FALSE)</f>
        <v>5.1082262089999997</v>
      </c>
      <c r="C18" s="24">
        <f t="shared" ref="C18:H18" ca="1" si="6">HLOOKUP(C$12,INDIRECT(C$13),21,FALSE)</f>
        <v>2.1394818199999999</v>
      </c>
      <c r="D18" s="24">
        <f t="shared" ca="1" si="6"/>
        <v>2.2000000000000002</v>
      </c>
      <c r="E18" s="24">
        <f t="shared" ca="1" si="6"/>
        <v>2.1394818199999999</v>
      </c>
      <c r="F18" s="24">
        <f t="shared" ca="1" si="6"/>
        <v>1.968391424</v>
      </c>
      <c r="G18" s="24">
        <f t="shared" ca="1" si="6"/>
        <v>1.7163118959999999</v>
      </c>
      <c r="H18" s="24">
        <f t="shared" ca="1" si="6"/>
        <v>1.0954715370000001</v>
      </c>
      <c r="I18" s="24"/>
    </row>
    <row r="19" spans="1:9" x14ac:dyDescent="0.25">
      <c r="A19" s="5" t="s">
        <v>63</v>
      </c>
      <c r="B19" s="24">
        <f ca="1">HLOOKUP(B$12,INDIRECT(B$13),22,FALSE)</f>
        <v>1.668391424</v>
      </c>
      <c r="C19" s="24">
        <f t="shared" ref="C19:H19" ca="1" si="7">HLOOKUP(C$12,INDIRECT(C$13),22,FALSE)</f>
        <v>5.5119160279999999</v>
      </c>
      <c r="D19" s="24">
        <f t="shared" ca="1" si="7"/>
        <v>6</v>
      </c>
      <c r="E19" s="24">
        <f t="shared" ca="1" si="7"/>
        <v>6.6101049649999997</v>
      </c>
      <c r="F19" s="24">
        <f t="shared" ca="1" si="7"/>
        <v>7.1147172379999999</v>
      </c>
      <c r="G19" s="24">
        <f t="shared" ca="1" si="7"/>
        <v>7.4265847740000002</v>
      </c>
      <c r="H19" s="24">
        <f t="shared" ca="1" si="7"/>
        <v>7.4917828430000002</v>
      </c>
      <c r="I19" s="24"/>
    </row>
    <row r="20" spans="1:9" x14ac:dyDescent="0.25">
      <c r="A20" s="5" t="s">
        <v>64</v>
      </c>
      <c r="B20" s="24">
        <f ca="1">HLOOKUP(B$12,INDIRECT(B$13),23,FALSE)</f>
        <v>5.1082262089999997</v>
      </c>
      <c r="C20" s="24">
        <f t="shared" ref="C20:H20" ca="1" si="8">HLOOKUP(C$12,INDIRECT(C$13),23,FALSE)</f>
        <v>1.83948182</v>
      </c>
      <c r="D20" s="24">
        <f t="shared" ca="1" si="8"/>
        <v>1.9</v>
      </c>
      <c r="E20" s="24">
        <f t="shared" ca="1" si="8"/>
        <v>1.83948182</v>
      </c>
      <c r="F20" s="24">
        <f t="shared" ca="1" si="8"/>
        <v>1.668391424</v>
      </c>
      <c r="G20" s="24">
        <f t="shared" ca="1" si="8"/>
        <v>1.4163118960000001</v>
      </c>
      <c r="H20" s="24">
        <f t="shared" ca="1" si="8"/>
        <v>0.79547153699999995</v>
      </c>
      <c r="I20" s="24"/>
    </row>
    <row r="21" spans="1:9" x14ac:dyDescent="0.25">
      <c r="A21" s="5" t="s">
        <v>65</v>
      </c>
      <c r="B21" s="24">
        <f ca="1">HLOOKUP(B$12,INDIRECT(B$13),24,FALSE)</f>
        <v>1.968391424</v>
      </c>
      <c r="C21" s="24">
        <f t="shared" ref="C21:H21" ca="1" si="9">HLOOKUP(C$12,INDIRECT(C$13),24,FALSE)</f>
        <v>5.5119160279999999</v>
      </c>
      <c r="D21" s="24">
        <f t="shared" ca="1" si="9"/>
        <v>6</v>
      </c>
      <c r="E21" s="24">
        <f t="shared" ca="1" si="9"/>
        <v>6.6101049649999997</v>
      </c>
      <c r="F21" s="24">
        <f t="shared" ca="1" si="9"/>
        <v>7.1147172379999999</v>
      </c>
      <c r="G21" s="24">
        <f t="shared" ca="1" si="9"/>
        <v>7.4265847740000002</v>
      </c>
      <c r="H21" s="24">
        <f t="shared" ca="1" si="9"/>
        <v>7.4917828430000002</v>
      </c>
      <c r="I21" s="24"/>
    </row>
    <row r="22" spans="1:9" x14ac:dyDescent="0.25">
      <c r="B22" s="21"/>
    </row>
    <row r="23" spans="1:9" x14ac:dyDescent="0.25">
      <c r="D23" s="25"/>
      <c r="E23" s="25"/>
      <c r="F23" s="25"/>
      <c r="G23" s="26"/>
    </row>
    <row r="25" spans="1:9" x14ac:dyDescent="0.25">
      <c r="B25" s="21"/>
    </row>
  </sheetData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H32"/>
  <sheetViews>
    <sheetView zoomScaleNormal="100" workbookViewId="0">
      <selection activeCell="E14" sqref="E14"/>
    </sheetView>
  </sheetViews>
  <sheetFormatPr defaultRowHeight="15" x14ac:dyDescent="0.25"/>
  <cols>
    <col min="1" max="1" width="16.42578125" style="12" customWidth="1"/>
    <col min="2" max="2" width="13.5703125" style="12" customWidth="1"/>
    <col min="3" max="3" width="10.28515625" style="5" bestFit="1" customWidth="1"/>
    <col min="4" max="4" width="13.140625" style="5" bestFit="1" customWidth="1"/>
    <col min="5" max="5" width="12.5703125" style="5" bestFit="1" customWidth="1"/>
    <col min="6" max="6" width="15.140625" style="5" bestFit="1" customWidth="1"/>
    <col min="7" max="7" width="12.7109375" style="5" bestFit="1" customWidth="1"/>
    <col min="8" max="8" width="7.140625" style="5" bestFit="1" customWidth="1"/>
    <col min="9" max="16384" width="9.140625" style="5"/>
  </cols>
  <sheetData>
    <row r="11" spans="1:8" x14ac:dyDescent="0.25">
      <c r="A11" s="13" t="s">
        <v>35</v>
      </c>
      <c r="B11" s="11" t="s">
        <v>99</v>
      </c>
      <c r="C11" s="12" t="s">
        <v>36</v>
      </c>
      <c r="D11" s="12" t="s">
        <v>37</v>
      </c>
      <c r="E11" s="12" t="s">
        <v>96</v>
      </c>
      <c r="F11" s="12" t="s">
        <v>55</v>
      </c>
      <c r="G11" s="12" t="s">
        <v>38</v>
      </c>
      <c r="H11" s="5" t="s">
        <v>39</v>
      </c>
    </row>
    <row r="12" spans="1:8" x14ac:dyDescent="0.25">
      <c r="A12" s="11" t="s">
        <v>99</v>
      </c>
      <c r="B12" s="11">
        <v>0</v>
      </c>
      <c r="C12" s="5">
        <v>3.75</v>
      </c>
      <c r="D12" s="5">
        <v>6.75</v>
      </c>
      <c r="E12" s="5">
        <v>5.25</v>
      </c>
      <c r="F12" s="5">
        <v>10.5</v>
      </c>
      <c r="G12" s="5">
        <v>12</v>
      </c>
      <c r="H12" s="5">
        <v>4.5</v>
      </c>
    </row>
    <row r="13" spans="1:8" x14ac:dyDescent="0.25">
      <c r="A13" s="12" t="s">
        <v>36</v>
      </c>
      <c r="B13" s="14">
        <v>3.75</v>
      </c>
      <c r="C13" s="5">
        <v>0</v>
      </c>
      <c r="D13" s="5">
        <v>8.25</v>
      </c>
      <c r="E13" s="5">
        <v>1.5</v>
      </c>
      <c r="F13" s="5">
        <v>12</v>
      </c>
      <c r="G13" s="5">
        <v>13.5</v>
      </c>
      <c r="H13" s="5">
        <v>4.5</v>
      </c>
    </row>
    <row r="14" spans="1:8" x14ac:dyDescent="0.25">
      <c r="A14" s="12" t="s">
        <v>37</v>
      </c>
      <c r="B14" s="14">
        <v>6.75</v>
      </c>
      <c r="C14" s="5">
        <v>8.25</v>
      </c>
      <c r="D14" s="5">
        <v>0</v>
      </c>
      <c r="E14" s="5">
        <v>7.5</v>
      </c>
      <c r="F14" s="5">
        <v>3</v>
      </c>
      <c r="G14" s="5">
        <v>4.5</v>
      </c>
      <c r="H14" s="5">
        <v>2.25</v>
      </c>
    </row>
    <row r="15" spans="1:8" x14ac:dyDescent="0.25">
      <c r="A15" s="12" t="s">
        <v>96</v>
      </c>
      <c r="B15" s="14">
        <v>5.25</v>
      </c>
      <c r="C15" s="5">
        <v>1.5</v>
      </c>
      <c r="D15" s="5">
        <v>7.5</v>
      </c>
      <c r="E15" s="5">
        <v>0</v>
      </c>
      <c r="F15" s="5">
        <v>11.25</v>
      </c>
      <c r="G15" s="5">
        <v>12.75</v>
      </c>
      <c r="H15" s="5">
        <v>3.75</v>
      </c>
    </row>
    <row r="16" spans="1:8" x14ac:dyDescent="0.25">
      <c r="A16" s="12" t="s">
        <v>55</v>
      </c>
      <c r="B16" s="14">
        <v>10.5</v>
      </c>
      <c r="C16" s="5">
        <v>12</v>
      </c>
      <c r="D16" s="5">
        <v>3</v>
      </c>
      <c r="E16" s="5">
        <v>11.25</v>
      </c>
      <c r="F16" s="5">
        <v>0</v>
      </c>
      <c r="G16" s="14">
        <v>2.25</v>
      </c>
      <c r="H16" s="5">
        <v>6</v>
      </c>
    </row>
    <row r="17" spans="1:8" x14ac:dyDescent="0.25">
      <c r="A17" s="12" t="s">
        <v>38</v>
      </c>
      <c r="B17" s="14">
        <v>12</v>
      </c>
      <c r="C17" s="5">
        <v>13.5</v>
      </c>
      <c r="D17" s="5">
        <v>4.5</v>
      </c>
      <c r="E17" s="5">
        <v>12.75</v>
      </c>
      <c r="F17" s="5">
        <v>2.25</v>
      </c>
      <c r="G17" s="5">
        <v>0</v>
      </c>
      <c r="H17" s="5">
        <v>6.75</v>
      </c>
    </row>
    <row r="18" spans="1:8" x14ac:dyDescent="0.25">
      <c r="A18" s="12" t="s">
        <v>39</v>
      </c>
      <c r="B18" s="14">
        <v>4.5</v>
      </c>
      <c r="C18" s="5">
        <v>4.5</v>
      </c>
      <c r="D18" s="5">
        <v>2.25</v>
      </c>
      <c r="E18" s="5">
        <v>3.75</v>
      </c>
      <c r="F18" s="5">
        <v>6</v>
      </c>
      <c r="G18" s="5">
        <v>6.75</v>
      </c>
      <c r="H18" s="5">
        <v>0</v>
      </c>
    </row>
    <row r="20" spans="1:8" x14ac:dyDescent="0.25">
      <c r="C20" s="12"/>
      <c r="D20" s="12"/>
      <c r="E20" s="12"/>
      <c r="F20" s="12"/>
      <c r="G20" s="12"/>
      <c r="H20" s="12"/>
    </row>
    <row r="21" spans="1:8" x14ac:dyDescent="0.25">
      <c r="C21" s="12"/>
      <c r="D21" s="12"/>
      <c r="E21" s="12"/>
      <c r="F21" s="12"/>
      <c r="G21" s="12"/>
      <c r="H21" s="12"/>
    </row>
    <row r="22" spans="1:8" x14ac:dyDescent="0.25">
      <c r="C22" s="12"/>
      <c r="D22" s="12"/>
      <c r="E22" s="12"/>
      <c r="F22" s="12"/>
      <c r="G22" s="12"/>
      <c r="H22" s="12"/>
    </row>
    <row r="23" spans="1:8" x14ac:dyDescent="0.25">
      <c r="C23" s="12"/>
      <c r="D23" s="12"/>
      <c r="E23" s="12"/>
      <c r="F23" s="12"/>
      <c r="G23" s="12"/>
      <c r="H23" s="12"/>
    </row>
    <row r="24" spans="1:8" x14ac:dyDescent="0.25">
      <c r="C24" s="12"/>
      <c r="D24" s="12"/>
      <c r="E24" s="12"/>
      <c r="F24" s="12"/>
      <c r="G24" s="12"/>
      <c r="H24" s="12"/>
    </row>
    <row r="25" spans="1:8" x14ac:dyDescent="0.25">
      <c r="C25" s="12"/>
      <c r="D25" s="12"/>
      <c r="E25" s="12"/>
      <c r="F25" s="12"/>
      <c r="G25" s="12"/>
      <c r="H25" s="12"/>
    </row>
    <row r="26" spans="1:8" x14ac:dyDescent="0.25">
      <c r="C26" s="12"/>
      <c r="D26" s="12"/>
      <c r="E26" s="12"/>
      <c r="F26" s="12"/>
      <c r="G26" s="12"/>
      <c r="H26" s="12"/>
    </row>
    <row r="27" spans="1:8" x14ac:dyDescent="0.25">
      <c r="C27" s="12"/>
      <c r="D27" s="12"/>
      <c r="E27" s="12"/>
      <c r="F27" s="12"/>
      <c r="G27" s="12"/>
      <c r="H27" s="12"/>
    </row>
    <row r="28" spans="1:8" x14ac:dyDescent="0.25">
      <c r="C28" s="12"/>
      <c r="D28" s="12"/>
      <c r="E28" s="12"/>
      <c r="F28" s="12"/>
      <c r="G28" s="12"/>
      <c r="H28" s="12"/>
    </row>
    <row r="29" spans="1:8" x14ac:dyDescent="0.25">
      <c r="C29" s="12"/>
      <c r="D29" s="12"/>
      <c r="E29" s="12"/>
      <c r="F29" s="12"/>
      <c r="G29" s="12"/>
      <c r="H29" s="12"/>
    </row>
    <row r="30" spans="1:8" x14ac:dyDescent="0.25">
      <c r="C30" s="12"/>
      <c r="D30" s="12"/>
      <c r="E30" s="12"/>
      <c r="F30" s="12"/>
      <c r="G30" s="12"/>
      <c r="H30" s="12"/>
    </row>
    <row r="31" spans="1:8" x14ac:dyDescent="0.25">
      <c r="C31" s="12"/>
      <c r="D31" s="12"/>
      <c r="E31" s="12"/>
      <c r="F31" s="12"/>
      <c r="G31" s="12"/>
      <c r="H31" s="12"/>
    </row>
    <row r="32" spans="1:8" x14ac:dyDescent="0.25">
      <c r="C32" s="12"/>
      <c r="D32" s="12"/>
      <c r="E32" s="12"/>
      <c r="F32" s="12"/>
      <c r="G32" s="12"/>
      <c r="H32" s="12"/>
    </row>
  </sheetData>
  <dataValidations count="1">
    <dataValidation type="list" allowBlank="1" showInputMessage="1" showErrorMessage="1" sqref="A15 E11">
      <formula1>$Q$1:$Q$6</formula1>
    </dataValidation>
  </dataValidation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H18"/>
  <sheetViews>
    <sheetView zoomScale="95" zoomScaleNormal="95" workbookViewId="0">
      <selection activeCell="J22" sqref="J22"/>
    </sheetView>
  </sheetViews>
  <sheetFormatPr defaultRowHeight="15" x14ac:dyDescent="0.25"/>
  <cols>
    <col min="1" max="1" width="14.7109375" style="12" bestFit="1" customWidth="1"/>
    <col min="2" max="2" width="13.7109375" style="12" bestFit="1" customWidth="1"/>
    <col min="3" max="3" width="9.28515625" style="5" bestFit="1" customWidth="1"/>
    <col min="4" max="4" width="12.5703125" style="5" bestFit="1" customWidth="1"/>
    <col min="5" max="5" width="11.85546875" style="5" bestFit="1" customWidth="1"/>
    <col min="6" max="6" width="14.7109375" style="5" bestFit="1" customWidth="1"/>
    <col min="7" max="7" width="11.5703125" style="5" bestFit="1" customWidth="1"/>
    <col min="8" max="8" width="7.140625" style="5" customWidth="1"/>
    <col min="9" max="16384" width="9.140625" style="5"/>
  </cols>
  <sheetData>
    <row r="11" spans="1:8" x14ac:dyDescent="0.25">
      <c r="A11" s="13" t="s">
        <v>35</v>
      </c>
      <c r="B11" s="11" t="s">
        <v>99</v>
      </c>
      <c r="C11" s="12" t="s">
        <v>36</v>
      </c>
      <c r="D11" s="12" t="s">
        <v>37</v>
      </c>
      <c r="E11" s="12" t="s">
        <v>96</v>
      </c>
      <c r="F11" s="12" t="s">
        <v>55</v>
      </c>
      <c r="G11" s="12" t="s">
        <v>38</v>
      </c>
      <c r="H11" s="5" t="s">
        <v>39</v>
      </c>
    </row>
    <row r="12" spans="1:8" x14ac:dyDescent="0.25">
      <c r="A12" s="11" t="s">
        <v>99</v>
      </c>
      <c r="B12" s="14" t="s">
        <v>44</v>
      </c>
      <c r="C12" s="14" t="s">
        <v>44</v>
      </c>
      <c r="D12" s="14" t="s">
        <v>45</v>
      </c>
      <c r="E12" s="14" t="s">
        <v>44</v>
      </c>
      <c r="F12" s="14" t="s">
        <v>45</v>
      </c>
      <c r="G12" s="14" t="s">
        <v>45</v>
      </c>
      <c r="H12" s="14" t="s">
        <v>44</v>
      </c>
    </row>
    <row r="13" spans="1:8" x14ac:dyDescent="0.25">
      <c r="A13" s="12" t="s">
        <v>36</v>
      </c>
      <c r="B13" s="14" t="s">
        <v>44</v>
      </c>
      <c r="C13" s="14" t="s">
        <v>44</v>
      </c>
      <c r="D13" s="14" t="s">
        <v>45</v>
      </c>
      <c r="E13" s="14" t="s">
        <v>44</v>
      </c>
      <c r="F13" s="14" t="s">
        <v>45</v>
      </c>
      <c r="G13" s="14" t="s">
        <v>45</v>
      </c>
      <c r="H13" s="14" t="s">
        <v>44</v>
      </c>
    </row>
    <row r="14" spans="1:8" x14ac:dyDescent="0.25">
      <c r="A14" s="12" t="s">
        <v>37</v>
      </c>
      <c r="B14" s="14" t="s">
        <v>45</v>
      </c>
      <c r="C14" s="14" t="s">
        <v>45</v>
      </c>
      <c r="D14" s="14" t="s">
        <v>44</v>
      </c>
      <c r="E14" s="14" t="s">
        <v>45</v>
      </c>
      <c r="F14" s="14" t="s">
        <v>44</v>
      </c>
      <c r="G14" s="14" t="s">
        <v>44</v>
      </c>
      <c r="H14" s="14" t="s">
        <v>44</v>
      </c>
    </row>
    <row r="15" spans="1:8" x14ac:dyDescent="0.25">
      <c r="A15" s="12" t="s">
        <v>96</v>
      </c>
      <c r="B15" s="14" t="s">
        <v>44</v>
      </c>
      <c r="C15" s="14" t="s">
        <v>44</v>
      </c>
      <c r="D15" s="14" t="s">
        <v>45</v>
      </c>
      <c r="E15" s="14" t="s">
        <v>44</v>
      </c>
      <c r="F15" s="14" t="s">
        <v>45</v>
      </c>
      <c r="G15" s="14" t="s">
        <v>45</v>
      </c>
      <c r="H15" s="14" t="s">
        <v>44</v>
      </c>
    </row>
    <row r="16" spans="1:8" x14ac:dyDescent="0.25">
      <c r="A16" s="12" t="s">
        <v>55</v>
      </c>
      <c r="B16" s="14" t="s">
        <v>45</v>
      </c>
      <c r="C16" s="14" t="s">
        <v>45</v>
      </c>
      <c r="D16" s="14" t="s">
        <v>44</v>
      </c>
      <c r="E16" s="14" t="s">
        <v>45</v>
      </c>
      <c r="F16" s="14" t="s">
        <v>44</v>
      </c>
      <c r="G16" s="14" t="s">
        <v>44</v>
      </c>
      <c r="H16" s="14" t="s">
        <v>44</v>
      </c>
    </row>
    <row r="17" spans="1:8" x14ac:dyDescent="0.25">
      <c r="A17" s="12" t="s">
        <v>38</v>
      </c>
      <c r="B17" s="14" t="s">
        <v>45</v>
      </c>
      <c r="C17" s="14" t="s">
        <v>45</v>
      </c>
      <c r="D17" s="14" t="s">
        <v>44</v>
      </c>
      <c r="E17" s="14" t="s">
        <v>45</v>
      </c>
      <c r="F17" s="14" t="s">
        <v>44</v>
      </c>
      <c r="G17" s="14" t="s">
        <v>44</v>
      </c>
      <c r="H17" s="14" t="s">
        <v>44</v>
      </c>
    </row>
    <row r="18" spans="1:8" x14ac:dyDescent="0.25">
      <c r="A18" s="12" t="s">
        <v>39</v>
      </c>
      <c r="B18" s="14" t="s">
        <v>44</v>
      </c>
      <c r="C18" s="14" t="s">
        <v>44</v>
      </c>
      <c r="D18" s="14" t="s">
        <v>44</v>
      </c>
      <c r="E18" s="14" t="s">
        <v>44</v>
      </c>
      <c r="F18" s="14" t="s">
        <v>44</v>
      </c>
      <c r="G18" s="14" t="s">
        <v>44</v>
      </c>
      <c r="H18" s="14" t="s">
        <v>44</v>
      </c>
    </row>
  </sheetData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E33"/>
  <sheetViews>
    <sheetView zoomScaleNormal="100" workbookViewId="0">
      <selection activeCell="E16" sqref="E16"/>
    </sheetView>
  </sheetViews>
  <sheetFormatPr defaultRowHeight="15" x14ac:dyDescent="0.25"/>
  <cols>
    <col min="1" max="1" width="14.85546875" style="12" bestFit="1" customWidth="1"/>
    <col min="2" max="2" width="5.85546875" style="12" bestFit="1" customWidth="1"/>
    <col min="3" max="3" width="8.5703125" style="5" bestFit="1" customWidth="1"/>
    <col min="4" max="16384" width="9.140625" style="5"/>
  </cols>
  <sheetData>
    <row r="11" spans="1:5" x14ac:dyDescent="0.25">
      <c r="A11" s="13" t="s">
        <v>35</v>
      </c>
      <c r="B11" s="12" t="s">
        <v>43</v>
      </c>
      <c r="C11" s="5" t="s">
        <v>97</v>
      </c>
      <c r="D11" s="5" t="s">
        <v>89</v>
      </c>
      <c r="E11" s="5" t="s">
        <v>90</v>
      </c>
    </row>
    <row r="12" spans="1:5" x14ac:dyDescent="0.25">
      <c r="A12" s="11" t="s">
        <v>99</v>
      </c>
      <c r="B12" s="11" t="s">
        <v>41</v>
      </c>
      <c r="C12" s="5">
        <v>15.75</v>
      </c>
      <c r="D12" s="5">
        <v>1.8</v>
      </c>
      <c r="E12" s="5">
        <v>20</v>
      </c>
    </row>
    <row r="13" spans="1:5" x14ac:dyDescent="0.25">
      <c r="A13" s="12" t="s">
        <v>36</v>
      </c>
      <c r="B13" s="12" t="s">
        <v>42</v>
      </c>
      <c r="C13" s="5">
        <v>19.5</v>
      </c>
      <c r="D13" s="5">
        <v>-20</v>
      </c>
      <c r="E13" s="5">
        <v>3.8</v>
      </c>
    </row>
    <row r="14" spans="1:5" x14ac:dyDescent="0.25">
      <c r="A14" s="12" t="s">
        <v>37</v>
      </c>
      <c r="B14" s="12" t="s">
        <v>40</v>
      </c>
      <c r="C14" s="5">
        <v>18</v>
      </c>
      <c r="D14" s="5">
        <v>2.5</v>
      </c>
      <c r="E14" s="5">
        <v>6</v>
      </c>
    </row>
    <row r="15" spans="1:5" x14ac:dyDescent="0.25">
      <c r="A15" s="12" t="s">
        <v>96</v>
      </c>
      <c r="B15" s="12" t="s">
        <v>40</v>
      </c>
      <c r="C15" s="5">
        <v>15.75</v>
      </c>
      <c r="D15" s="5">
        <v>2.5</v>
      </c>
      <c r="E15" s="5">
        <v>6</v>
      </c>
    </row>
    <row r="16" spans="1:5" x14ac:dyDescent="0.25">
      <c r="A16" s="12" t="s">
        <v>55</v>
      </c>
      <c r="B16" s="12" t="s">
        <v>42</v>
      </c>
      <c r="C16" s="5">
        <v>15</v>
      </c>
      <c r="D16" s="5">
        <v>-20</v>
      </c>
      <c r="E16" s="5">
        <v>4</v>
      </c>
    </row>
    <row r="17" spans="1:5" x14ac:dyDescent="0.25">
      <c r="A17" s="12" t="s">
        <v>38</v>
      </c>
      <c r="B17" s="12" t="s">
        <v>41</v>
      </c>
      <c r="C17" s="5">
        <v>15.75</v>
      </c>
      <c r="D17" s="5">
        <v>1.6</v>
      </c>
      <c r="E17" s="5">
        <v>20</v>
      </c>
    </row>
    <row r="33" spans="4:4" x14ac:dyDescent="0.25">
      <c r="D33" s="31"/>
    </row>
  </sheetData>
  <pageMargins left="0.7" right="0.7" top="0.75" bottom="0.75" header="0.3" footer="0.3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AZ38"/>
  <sheetViews>
    <sheetView zoomScaleNormal="100" zoomScaleSheetLayoutView="80" workbookViewId="0">
      <selection activeCell="E28" sqref="E28"/>
    </sheetView>
  </sheetViews>
  <sheetFormatPr defaultRowHeight="15" x14ac:dyDescent="0.25"/>
  <cols>
    <col min="1" max="1" width="32.85546875" style="5" customWidth="1"/>
    <col min="2" max="20" width="12" style="5" customWidth="1"/>
    <col min="21" max="21" width="10.7109375" style="5" bestFit="1" customWidth="1"/>
    <col min="22" max="25" width="12" style="5" customWidth="1"/>
    <col min="26" max="28" width="12.85546875" style="5" bestFit="1" customWidth="1"/>
    <col min="29" max="30" width="13.5703125" style="5" bestFit="1" customWidth="1"/>
    <col min="31" max="32" width="12" style="5" customWidth="1"/>
    <col min="33" max="54" width="11.7109375" style="5" customWidth="1"/>
    <col min="55" max="16384" width="9.140625" style="5"/>
  </cols>
  <sheetData>
    <row r="11" spans="1:52" ht="62.25" customHeight="1" x14ac:dyDescent="0.25">
      <c r="A11" s="5" t="s">
        <v>107</v>
      </c>
    </row>
    <row r="12" spans="1:52" s="6" customFormat="1" ht="44.25" customHeight="1" x14ac:dyDescent="0.25">
      <c r="A12" s="6" t="s">
        <v>9</v>
      </c>
      <c r="B12" s="6" t="s">
        <v>20</v>
      </c>
      <c r="C12" s="6" t="s">
        <v>21</v>
      </c>
      <c r="D12" s="6" t="s">
        <v>21</v>
      </c>
      <c r="E12" s="6" t="s">
        <v>22</v>
      </c>
      <c r="F12" s="6" t="s">
        <v>22</v>
      </c>
      <c r="G12" s="6" t="s">
        <v>23</v>
      </c>
      <c r="H12" s="6" t="s">
        <v>20</v>
      </c>
      <c r="I12" s="6" t="s">
        <v>20</v>
      </c>
      <c r="J12" s="6" t="s">
        <v>24</v>
      </c>
      <c r="K12" s="6" t="s">
        <v>24</v>
      </c>
      <c r="L12" s="6" t="s">
        <v>10</v>
      </c>
      <c r="M12" s="6" t="s">
        <v>10</v>
      </c>
      <c r="N12" s="6" t="s">
        <v>11</v>
      </c>
      <c r="O12" s="6" t="s">
        <v>11</v>
      </c>
      <c r="P12" s="6" t="s">
        <v>13</v>
      </c>
      <c r="Q12" s="6" t="s">
        <v>13</v>
      </c>
      <c r="R12" s="6" t="s">
        <v>14</v>
      </c>
      <c r="S12" s="6" t="s">
        <v>15</v>
      </c>
      <c r="T12" s="6" t="s">
        <v>15</v>
      </c>
      <c r="U12" s="6" t="s">
        <v>16</v>
      </c>
      <c r="V12" s="6" t="s">
        <v>16</v>
      </c>
      <c r="W12" s="6" t="s">
        <v>13</v>
      </c>
      <c r="X12" s="6" t="s">
        <v>13</v>
      </c>
      <c r="Y12" s="6" t="s">
        <v>17</v>
      </c>
      <c r="Z12" s="6" t="s">
        <v>18</v>
      </c>
      <c r="AA12" s="6" t="s">
        <v>18</v>
      </c>
      <c r="AB12" s="6" t="s">
        <v>18</v>
      </c>
      <c r="AC12" s="6" t="s">
        <v>19</v>
      </c>
      <c r="AD12" s="6" t="s">
        <v>19</v>
      </c>
      <c r="AE12" s="6" t="s">
        <v>20</v>
      </c>
      <c r="AF12" s="6" t="s">
        <v>20</v>
      </c>
    </row>
    <row r="13" spans="1:52" s="45" customFormat="1" x14ac:dyDescent="0.25">
      <c r="A13" s="45" t="s">
        <v>1</v>
      </c>
      <c r="B13" s="45">
        <v>42552</v>
      </c>
      <c r="C13" s="45">
        <v>42553</v>
      </c>
      <c r="D13" s="45">
        <v>42554</v>
      </c>
      <c r="E13" s="45">
        <v>42555</v>
      </c>
      <c r="F13" s="45">
        <v>42556</v>
      </c>
      <c r="G13" s="45">
        <v>42557</v>
      </c>
      <c r="H13" s="45">
        <v>42558</v>
      </c>
      <c r="I13" s="45">
        <v>42559</v>
      </c>
      <c r="J13" s="45">
        <v>42560</v>
      </c>
      <c r="K13" s="45">
        <v>42561</v>
      </c>
      <c r="L13" s="45">
        <v>42562</v>
      </c>
      <c r="M13" s="45">
        <v>42563</v>
      </c>
      <c r="N13" s="45">
        <v>42564</v>
      </c>
      <c r="O13" s="45">
        <v>42565</v>
      </c>
      <c r="P13" s="45">
        <v>42566</v>
      </c>
      <c r="Q13" s="45">
        <v>42567</v>
      </c>
      <c r="R13" s="45">
        <v>42568</v>
      </c>
      <c r="S13" s="45">
        <v>42569</v>
      </c>
      <c r="T13" s="45">
        <v>42570</v>
      </c>
      <c r="U13" s="45">
        <v>42571</v>
      </c>
      <c r="V13" s="45">
        <v>42572</v>
      </c>
      <c r="W13" s="45">
        <v>42573</v>
      </c>
      <c r="X13" s="45">
        <v>42574</v>
      </c>
      <c r="Y13" s="45">
        <v>42575</v>
      </c>
      <c r="Z13" s="45">
        <v>42576</v>
      </c>
      <c r="AA13" s="45">
        <v>42577</v>
      </c>
      <c r="AB13" s="45">
        <v>42578</v>
      </c>
      <c r="AC13" s="45">
        <v>42579</v>
      </c>
      <c r="AD13" s="45">
        <v>42580</v>
      </c>
      <c r="AE13" s="45">
        <v>42581</v>
      </c>
      <c r="AF13" s="45">
        <v>42582</v>
      </c>
    </row>
    <row r="14" spans="1:52" x14ac:dyDescent="0.25">
      <c r="A14" s="32" t="s">
        <v>101</v>
      </c>
      <c r="B14" s="32">
        <v>3</v>
      </c>
      <c r="C14" s="32">
        <v>4</v>
      </c>
      <c r="D14" s="32">
        <v>5</v>
      </c>
      <c r="E14" s="32">
        <v>6</v>
      </c>
      <c r="F14" s="32">
        <v>7</v>
      </c>
      <c r="G14" s="32">
        <v>8</v>
      </c>
      <c r="H14" s="32">
        <v>9</v>
      </c>
      <c r="I14" s="32">
        <v>10</v>
      </c>
      <c r="J14" s="32">
        <v>11</v>
      </c>
      <c r="K14" s="32">
        <v>12</v>
      </c>
      <c r="L14" s="32">
        <v>1</v>
      </c>
      <c r="M14" s="32">
        <v>2</v>
      </c>
      <c r="N14" s="32">
        <v>3</v>
      </c>
      <c r="O14" s="32">
        <v>4</v>
      </c>
      <c r="P14" s="32">
        <v>5</v>
      </c>
      <c r="Q14" s="32">
        <v>6</v>
      </c>
      <c r="R14" s="32">
        <v>7</v>
      </c>
      <c r="S14" s="32">
        <v>8</v>
      </c>
      <c r="T14" s="32">
        <v>9</v>
      </c>
      <c r="U14" s="32">
        <v>10</v>
      </c>
      <c r="V14" s="32">
        <v>11</v>
      </c>
      <c r="W14" s="32">
        <v>12</v>
      </c>
      <c r="X14" s="32">
        <v>1</v>
      </c>
      <c r="Y14" s="32">
        <v>2</v>
      </c>
      <c r="Z14" s="32">
        <v>3</v>
      </c>
      <c r="AA14" s="32">
        <v>4</v>
      </c>
      <c r="AB14" s="32">
        <v>5</v>
      </c>
      <c r="AC14" s="32">
        <v>6</v>
      </c>
      <c r="AD14" s="32">
        <v>7</v>
      </c>
      <c r="AE14" s="32">
        <v>8</v>
      </c>
      <c r="AF14" s="32">
        <v>9</v>
      </c>
      <c r="AG14" s="7"/>
      <c r="AH14" s="7"/>
      <c r="AI14" s="7"/>
      <c r="AJ14" s="7"/>
      <c r="AK14" s="7"/>
      <c r="AL14" s="7"/>
      <c r="AM14" s="7"/>
      <c r="AN14" s="7"/>
      <c r="AO14" s="7"/>
    </row>
    <row r="15" spans="1:52" x14ac:dyDescent="0.25">
      <c r="A15" s="32" t="s">
        <v>102</v>
      </c>
      <c r="B15" s="32">
        <v>3</v>
      </c>
      <c r="C15" s="32">
        <v>4</v>
      </c>
      <c r="D15" s="32">
        <v>5</v>
      </c>
      <c r="E15" s="32">
        <v>6</v>
      </c>
      <c r="F15" s="32">
        <v>6</v>
      </c>
      <c r="G15" s="32">
        <v>5</v>
      </c>
      <c r="H15" s="32">
        <v>4</v>
      </c>
      <c r="I15" s="32">
        <v>3</v>
      </c>
      <c r="J15" s="32">
        <v>2</v>
      </c>
      <c r="K15" s="32">
        <v>1</v>
      </c>
      <c r="L15" s="32">
        <v>1</v>
      </c>
      <c r="M15" s="32">
        <v>2</v>
      </c>
      <c r="N15" s="32">
        <v>3</v>
      </c>
      <c r="O15" s="32">
        <v>4</v>
      </c>
      <c r="P15" s="32">
        <v>5</v>
      </c>
      <c r="Q15" s="32">
        <v>6</v>
      </c>
      <c r="R15" s="32">
        <v>6</v>
      </c>
      <c r="S15" s="32">
        <v>5</v>
      </c>
      <c r="T15" s="32">
        <v>4</v>
      </c>
      <c r="U15" s="32">
        <v>3</v>
      </c>
      <c r="V15" s="32">
        <v>2</v>
      </c>
      <c r="W15" s="32">
        <v>1</v>
      </c>
      <c r="X15" s="32">
        <v>1</v>
      </c>
      <c r="Y15" s="32">
        <v>2</v>
      </c>
      <c r="Z15" s="32">
        <v>3</v>
      </c>
      <c r="AA15" s="32">
        <v>4</v>
      </c>
      <c r="AB15" s="32">
        <v>5</v>
      </c>
      <c r="AC15" s="32">
        <v>6</v>
      </c>
      <c r="AD15" s="32">
        <v>6</v>
      </c>
      <c r="AE15" s="32">
        <v>5</v>
      </c>
      <c r="AF15" s="32">
        <v>4</v>
      </c>
      <c r="AG15" s="7"/>
      <c r="AH15" s="7"/>
      <c r="AI15" s="7"/>
      <c r="AJ15" s="7"/>
      <c r="AK15" s="7"/>
      <c r="AL15" s="7"/>
      <c r="AM15" s="7"/>
      <c r="AN15" s="7"/>
      <c r="AO15" s="7"/>
    </row>
    <row r="16" spans="1:52" x14ac:dyDescent="0.25">
      <c r="A16" s="32" t="s">
        <v>103</v>
      </c>
      <c r="B16" s="32">
        <v>11</v>
      </c>
      <c r="C16" s="32">
        <v>12</v>
      </c>
      <c r="D16" s="32">
        <v>13</v>
      </c>
      <c r="E16" s="32">
        <v>14</v>
      </c>
      <c r="F16" s="32">
        <v>15</v>
      </c>
      <c r="G16" s="32">
        <v>16</v>
      </c>
      <c r="H16" s="32">
        <v>17</v>
      </c>
      <c r="I16" s="32">
        <v>18</v>
      </c>
      <c r="J16" s="32">
        <v>19</v>
      </c>
      <c r="K16" s="32">
        <v>20</v>
      </c>
      <c r="L16" s="32">
        <v>21</v>
      </c>
      <c r="M16" s="32">
        <v>22</v>
      </c>
      <c r="N16" s="32">
        <v>23</v>
      </c>
      <c r="O16" s="32">
        <v>24</v>
      </c>
      <c r="P16" s="32">
        <v>25</v>
      </c>
      <c r="Q16" s="32">
        <v>26</v>
      </c>
      <c r="R16" s="32">
        <v>27</v>
      </c>
      <c r="S16" s="32">
        <v>28</v>
      </c>
      <c r="T16" s="32">
        <v>29</v>
      </c>
      <c r="U16" s="32">
        <v>0</v>
      </c>
      <c r="V16" s="32">
        <v>1</v>
      </c>
      <c r="W16" s="32">
        <v>2</v>
      </c>
      <c r="X16" s="32">
        <v>3</v>
      </c>
      <c r="Y16" s="32">
        <v>4</v>
      </c>
      <c r="Z16" s="32">
        <v>5</v>
      </c>
      <c r="AA16" s="32">
        <v>6</v>
      </c>
      <c r="AB16" s="32">
        <v>7</v>
      </c>
      <c r="AC16" s="32">
        <v>8</v>
      </c>
      <c r="AD16" s="32">
        <v>9</v>
      </c>
      <c r="AE16" s="32">
        <v>10</v>
      </c>
      <c r="AF16" s="32">
        <v>11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x14ac:dyDescent="0.25">
      <c r="A17" s="32" t="s">
        <v>104</v>
      </c>
      <c r="B17" s="32" t="s">
        <v>45</v>
      </c>
      <c r="C17" s="32" t="s">
        <v>45</v>
      </c>
      <c r="D17" s="32" t="s">
        <v>45</v>
      </c>
      <c r="E17" s="32" t="s">
        <v>45</v>
      </c>
      <c r="F17" s="32" t="s">
        <v>44</v>
      </c>
      <c r="G17" s="32" t="s">
        <v>44</v>
      </c>
      <c r="H17" s="32" t="s">
        <v>44</v>
      </c>
      <c r="I17" s="32" t="s">
        <v>44</v>
      </c>
      <c r="J17" s="32" t="s">
        <v>44</v>
      </c>
      <c r="K17" s="32" t="s">
        <v>44</v>
      </c>
      <c r="L17" s="32" t="s">
        <v>44</v>
      </c>
      <c r="M17" s="32" t="s">
        <v>44</v>
      </c>
      <c r="N17" s="32" t="s">
        <v>44</v>
      </c>
      <c r="O17" s="32" t="s">
        <v>44</v>
      </c>
      <c r="P17" s="32" t="s">
        <v>44</v>
      </c>
      <c r="Q17" s="32" t="s">
        <v>44</v>
      </c>
      <c r="R17" s="32" t="s">
        <v>44</v>
      </c>
      <c r="S17" s="32" t="s">
        <v>44</v>
      </c>
      <c r="T17" s="32" t="s">
        <v>44</v>
      </c>
      <c r="U17" s="32" t="s">
        <v>45</v>
      </c>
      <c r="V17" s="32" t="s">
        <v>45</v>
      </c>
      <c r="W17" s="32" t="s">
        <v>45</v>
      </c>
      <c r="X17" s="32" t="s">
        <v>45</v>
      </c>
      <c r="Y17" s="32" t="s">
        <v>45</v>
      </c>
      <c r="Z17" s="32" t="s">
        <v>45</v>
      </c>
      <c r="AA17" s="32" t="s">
        <v>45</v>
      </c>
      <c r="AB17" s="32" t="s">
        <v>45</v>
      </c>
      <c r="AC17" s="32" t="s">
        <v>45</v>
      </c>
      <c r="AD17" s="32" t="s">
        <v>45</v>
      </c>
      <c r="AE17" s="32" t="s">
        <v>45</v>
      </c>
      <c r="AF17" s="32" t="s">
        <v>45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x14ac:dyDescent="0.25">
      <c r="A18" s="32" t="s">
        <v>105</v>
      </c>
      <c r="B18" s="32" t="s">
        <v>44</v>
      </c>
      <c r="C18" s="32" t="s">
        <v>44</v>
      </c>
      <c r="D18" s="32" t="s">
        <v>44</v>
      </c>
      <c r="E18" s="32" t="s">
        <v>44</v>
      </c>
      <c r="F18" s="32" t="s">
        <v>44</v>
      </c>
      <c r="G18" s="32" t="s">
        <v>44</v>
      </c>
      <c r="H18" s="32" t="s">
        <v>44</v>
      </c>
      <c r="I18" s="32" t="s">
        <v>44</v>
      </c>
      <c r="J18" s="32" t="s">
        <v>44</v>
      </c>
      <c r="K18" s="32" t="s">
        <v>45</v>
      </c>
      <c r="L18" s="32" t="s">
        <v>45</v>
      </c>
      <c r="M18" s="32" t="s">
        <v>45</v>
      </c>
      <c r="N18" s="32" t="s">
        <v>45</v>
      </c>
      <c r="O18" s="32" t="s">
        <v>45</v>
      </c>
      <c r="P18" s="32" t="s">
        <v>45</v>
      </c>
      <c r="Q18" s="32" t="s">
        <v>45</v>
      </c>
      <c r="R18" s="32" t="s">
        <v>45</v>
      </c>
      <c r="S18" s="32" t="s">
        <v>45</v>
      </c>
      <c r="T18" s="32" t="s">
        <v>45</v>
      </c>
      <c r="U18" s="32" t="s">
        <v>45</v>
      </c>
      <c r="V18" s="32" t="s">
        <v>45</v>
      </c>
      <c r="W18" s="32" t="s">
        <v>45</v>
      </c>
      <c r="X18" s="32" t="s">
        <v>45</v>
      </c>
      <c r="Y18" s="32" t="s">
        <v>44</v>
      </c>
      <c r="Z18" s="32" t="s">
        <v>44</v>
      </c>
      <c r="AA18" s="32" t="s">
        <v>44</v>
      </c>
      <c r="AB18" s="32" t="s">
        <v>44</v>
      </c>
      <c r="AC18" s="32" t="s">
        <v>44</v>
      </c>
      <c r="AD18" s="32" t="s">
        <v>44</v>
      </c>
      <c r="AE18" s="32" t="s">
        <v>44</v>
      </c>
      <c r="AF18" s="32" t="s">
        <v>44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s="9" customFormat="1" x14ac:dyDescent="0.25">
      <c r="A19" s="32" t="s">
        <v>106</v>
      </c>
      <c r="B19" s="32">
        <v>4.6076692250000004</v>
      </c>
      <c r="C19" s="32">
        <v>5.0265482459999999</v>
      </c>
      <c r="D19" s="32">
        <v>5.4454272660000003</v>
      </c>
      <c r="E19" s="32">
        <v>5.8643062869999998</v>
      </c>
      <c r="F19" s="32">
        <v>6.2831853070000001</v>
      </c>
      <c r="G19" s="32">
        <v>6.7020643279999996</v>
      </c>
      <c r="H19" s="32">
        <v>7.120943348</v>
      </c>
      <c r="I19" s="32">
        <v>7.5398223690000004</v>
      </c>
      <c r="J19" s="32">
        <v>7.9587013889999998</v>
      </c>
      <c r="K19" s="32">
        <v>8.3775804100000002</v>
      </c>
      <c r="L19" s="32">
        <v>8.7964594300000005</v>
      </c>
      <c r="M19" s="32">
        <v>9.2153384509999992</v>
      </c>
      <c r="N19" s="32">
        <v>9.6342174709999995</v>
      </c>
      <c r="O19" s="32">
        <v>10.05309649</v>
      </c>
      <c r="P19" s="32">
        <v>10.47197551</v>
      </c>
      <c r="Q19" s="32">
        <v>10.89085453</v>
      </c>
      <c r="R19" s="32">
        <v>11.309733550000001</v>
      </c>
      <c r="S19" s="32">
        <v>11.728612569999999</v>
      </c>
      <c r="T19" s="32">
        <v>12.14749159</v>
      </c>
      <c r="U19" s="32">
        <v>0</v>
      </c>
      <c r="V19" s="32">
        <v>0.41887901999999999</v>
      </c>
      <c r="W19" s="32">
        <v>0.83775804099999995</v>
      </c>
      <c r="X19" s="32">
        <v>1.2566370609999999</v>
      </c>
      <c r="Y19" s="32">
        <v>1.6755160819999999</v>
      </c>
      <c r="Z19" s="32">
        <v>2.094395102</v>
      </c>
      <c r="AA19" s="32">
        <v>2.513274123</v>
      </c>
      <c r="AB19" s="32">
        <v>2.9321531429999999</v>
      </c>
      <c r="AC19" s="32">
        <v>3.3510321639999998</v>
      </c>
      <c r="AD19" s="32">
        <v>3.7699111840000001</v>
      </c>
      <c r="AE19" s="32">
        <v>4.1887902050000001</v>
      </c>
      <c r="AF19" s="32">
        <v>4.6076692250000004</v>
      </c>
    </row>
    <row r="20" spans="1:52" x14ac:dyDescent="0.25">
      <c r="A20" s="32" t="s">
        <v>2</v>
      </c>
      <c r="B20" s="33">
        <v>0.58333333333333337</v>
      </c>
      <c r="C20" s="33">
        <v>0.61805555555555558</v>
      </c>
      <c r="D20" s="33">
        <v>0.65625</v>
      </c>
      <c r="E20" s="33">
        <v>0.6972222222222223</v>
      </c>
      <c r="F20" s="33">
        <v>0.74097222222222225</v>
      </c>
      <c r="G20" s="33">
        <v>0.78541666666666676</v>
      </c>
      <c r="H20" s="33">
        <v>0.82638888888888884</v>
      </c>
      <c r="I20" s="33">
        <v>0.86458333333333337</v>
      </c>
      <c r="J20" s="33">
        <v>0.89930555555555547</v>
      </c>
      <c r="K20" s="33">
        <v>0.93194444444444446</v>
      </c>
      <c r="L20" s="33">
        <v>0.96111111111111114</v>
      </c>
      <c r="M20" s="33">
        <v>0.9902777777777777</v>
      </c>
      <c r="N20" s="33">
        <v>2.2916666666666669E-2</v>
      </c>
      <c r="O20" s="33">
        <v>5.7638888888888885E-2</v>
      </c>
      <c r="P20" s="33">
        <v>9.5833333333333326E-2</v>
      </c>
      <c r="Q20" s="33">
        <v>0.13680555555555554</v>
      </c>
      <c r="R20" s="33">
        <v>0.18124999999999999</v>
      </c>
      <c r="S20" s="33">
        <v>0.22500000000000001</v>
      </c>
      <c r="T20" s="33">
        <v>0.26597222222222222</v>
      </c>
      <c r="U20" s="33">
        <v>0.30416666666666664</v>
      </c>
      <c r="V20" s="33">
        <v>0.33888888888888885</v>
      </c>
      <c r="W20" s="33">
        <v>0.37152777777777773</v>
      </c>
      <c r="X20" s="33">
        <v>0.40069444444444446</v>
      </c>
      <c r="Y20" s="33">
        <v>0.42986111111111108</v>
      </c>
      <c r="Z20" s="33">
        <v>0.46249999999999997</v>
      </c>
      <c r="AA20" s="33">
        <v>0.49722222222222223</v>
      </c>
      <c r="AB20" s="33">
        <v>0.53541666666666665</v>
      </c>
      <c r="AC20" s="33">
        <v>0.57638888888888895</v>
      </c>
      <c r="AD20" s="33">
        <v>0.62083333333333335</v>
      </c>
      <c r="AE20" s="33">
        <v>0.6645833333333333</v>
      </c>
      <c r="AF20" s="33">
        <v>0.7055555555555556</v>
      </c>
    </row>
    <row r="21" spans="1:52" x14ac:dyDescent="0.25">
      <c r="A21" s="32" t="s">
        <v>3</v>
      </c>
      <c r="B21" s="32">
        <v>4.5082171569999998</v>
      </c>
      <c r="C21" s="32">
        <v>4.5734152259999998</v>
      </c>
      <c r="D21" s="32">
        <v>4.8852827620000001</v>
      </c>
      <c r="E21" s="32">
        <v>5.3898950350000003</v>
      </c>
      <c r="F21" s="32">
        <v>6</v>
      </c>
      <c r="G21" s="32">
        <v>6.4880839720000001</v>
      </c>
      <c r="H21" s="32">
        <v>6.8917737910000003</v>
      </c>
      <c r="I21" s="32">
        <v>7.1412678200000004</v>
      </c>
      <c r="J21" s="32">
        <v>7.1934262740000001</v>
      </c>
      <c r="K21" s="32">
        <v>7.039230485</v>
      </c>
      <c r="L21" s="32">
        <v>6.7053423030000001</v>
      </c>
      <c r="M21" s="32">
        <v>6.2494940290000001</v>
      </c>
      <c r="N21" s="32">
        <v>5.7505059709999999</v>
      </c>
      <c r="O21" s="32">
        <v>5.2946576969999999</v>
      </c>
      <c r="P21" s="32">
        <v>4.960769515</v>
      </c>
      <c r="Q21" s="32">
        <v>4.8065737259999999</v>
      </c>
      <c r="R21" s="32">
        <v>4.8587321799999996</v>
      </c>
      <c r="S21" s="32">
        <v>5.1082262089999997</v>
      </c>
      <c r="T21" s="32">
        <v>5.5119160279999999</v>
      </c>
      <c r="U21" s="32">
        <v>6</v>
      </c>
      <c r="V21" s="32">
        <v>6.6101049649999997</v>
      </c>
      <c r="W21" s="32">
        <v>7.1147172379999999</v>
      </c>
      <c r="X21" s="32">
        <v>7.4265847740000002</v>
      </c>
      <c r="Y21" s="32">
        <v>7.4917828430000002</v>
      </c>
      <c r="Z21" s="32">
        <v>7.2990381060000002</v>
      </c>
      <c r="AA21" s="32">
        <v>6.8816778779999996</v>
      </c>
      <c r="AB21" s="32">
        <v>6.3118675360000003</v>
      </c>
      <c r="AC21" s="32">
        <v>5.6881324639999997</v>
      </c>
      <c r="AD21" s="32">
        <v>5.1183221220000004</v>
      </c>
      <c r="AE21" s="32">
        <v>4.7009618939999998</v>
      </c>
      <c r="AF21" s="32">
        <v>3.5082171569999998</v>
      </c>
    </row>
    <row r="22" spans="1:52" x14ac:dyDescent="0.25">
      <c r="A22" s="32" t="s">
        <v>4</v>
      </c>
      <c r="B22" s="33">
        <v>0.3298611111111111</v>
      </c>
      <c r="C22" s="33">
        <v>0.36458333333333331</v>
      </c>
      <c r="D22" s="33">
        <v>0.40277777777777773</v>
      </c>
      <c r="E22" s="33">
        <v>0.44375000000000003</v>
      </c>
      <c r="F22" s="33">
        <v>0.48749999999999999</v>
      </c>
      <c r="G22" s="33">
        <v>0.53194444444444444</v>
      </c>
      <c r="H22" s="33">
        <v>0.57291666666666663</v>
      </c>
      <c r="I22" s="33">
        <v>0.61111111111111105</v>
      </c>
      <c r="J22" s="33">
        <v>0.64583333333333337</v>
      </c>
      <c r="K22" s="33">
        <v>0.67847222222222225</v>
      </c>
      <c r="L22" s="33">
        <v>0.70763888888888893</v>
      </c>
      <c r="M22" s="33">
        <v>0.7368055555555556</v>
      </c>
      <c r="N22" s="33">
        <v>0.76944444444444438</v>
      </c>
      <c r="O22" s="33">
        <v>0.8041666666666667</v>
      </c>
      <c r="P22" s="33">
        <v>0.84236111111111101</v>
      </c>
      <c r="Q22" s="33">
        <v>0.8833333333333333</v>
      </c>
      <c r="R22" s="33">
        <v>0.9277777777777777</v>
      </c>
      <c r="S22" s="33">
        <v>0.97152777777777777</v>
      </c>
      <c r="T22" s="33">
        <v>1.2499999999999999E-2</v>
      </c>
      <c r="U22" s="33">
        <v>5.0694444444444452E-2</v>
      </c>
      <c r="V22" s="33">
        <v>8.5416666666666655E-2</v>
      </c>
      <c r="W22" s="33">
        <v>0.11805555555555557</v>
      </c>
      <c r="X22" s="33">
        <v>0.14722222222222223</v>
      </c>
      <c r="Y22" s="33">
        <v>0.1763888888888889</v>
      </c>
      <c r="Z22" s="33">
        <v>0.20902777777777778</v>
      </c>
      <c r="AA22" s="33">
        <v>0.24374999999999999</v>
      </c>
      <c r="AB22" s="33">
        <v>0.28194444444444444</v>
      </c>
      <c r="AC22" s="33">
        <v>0.32291666666666669</v>
      </c>
      <c r="AD22" s="33">
        <v>0.36736111111111108</v>
      </c>
      <c r="AE22" s="33">
        <v>0.41111111111111115</v>
      </c>
      <c r="AF22" s="33">
        <v>0.45208333333333334</v>
      </c>
    </row>
    <row r="23" spans="1:52" x14ac:dyDescent="0.25">
      <c r="A23" s="32" t="s">
        <v>3</v>
      </c>
      <c r="B23" s="32">
        <v>1.0954715370000001</v>
      </c>
      <c r="C23" s="32">
        <v>1.509016994</v>
      </c>
      <c r="D23" s="32">
        <v>1.8691306059999999</v>
      </c>
      <c r="E23" s="32">
        <v>2.1135454579999999</v>
      </c>
      <c r="F23" s="32">
        <v>2.2000000000000002</v>
      </c>
      <c r="G23" s="32">
        <v>2.1135454579999999</v>
      </c>
      <c r="H23" s="32">
        <v>1.8691306059999999</v>
      </c>
      <c r="I23" s="32">
        <v>1.509016994</v>
      </c>
      <c r="J23" s="32">
        <v>1.0954715370000001</v>
      </c>
      <c r="K23" s="32">
        <v>1.1499999999999999</v>
      </c>
      <c r="L23" s="32">
        <v>0.93368810400000002</v>
      </c>
      <c r="M23" s="32">
        <v>0.81529667900000002</v>
      </c>
      <c r="N23" s="32">
        <v>0.81529667900000002</v>
      </c>
      <c r="O23" s="32">
        <v>0.93368810400000002</v>
      </c>
      <c r="P23" s="32">
        <v>1.1499999999999999</v>
      </c>
      <c r="Q23" s="32">
        <v>1.4268300759999999</v>
      </c>
      <c r="R23" s="32">
        <v>1.7163118959999999</v>
      </c>
      <c r="S23" s="32">
        <v>1.968391424</v>
      </c>
      <c r="T23" s="32">
        <v>2.1394818199999999</v>
      </c>
      <c r="U23" s="32">
        <v>2.2000000000000002</v>
      </c>
      <c r="V23" s="32">
        <v>2.1394818199999999</v>
      </c>
      <c r="W23" s="32">
        <v>1.968391424</v>
      </c>
      <c r="X23" s="32">
        <v>1.7163118959999999</v>
      </c>
      <c r="Y23" s="32">
        <v>1.0954715370000001</v>
      </c>
      <c r="Z23" s="32">
        <v>0.7</v>
      </c>
      <c r="AA23" s="32">
        <v>0.39098300600000002</v>
      </c>
      <c r="AB23" s="32">
        <v>0.22185239900000001</v>
      </c>
      <c r="AC23" s="32">
        <v>0.22185239900000001</v>
      </c>
      <c r="AD23" s="32">
        <v>0.39098300600000002</v>
      </c>
      <c r="AE23" s="32">
        <v>0.7</v>
      </c>
      <c r="AF23" s="32">
        <v>1.0954715370000001</v>
      </c>
    </row>
    <row r="24" spans="1:52" x14ac:dyDescent="0.25">
      <c r="A24" s="32" t="s">
        <v>2</v>
      </c>
      <c r="B24" s="33">
        <v>7.2916666666666671E-2</v>
      </c>
      <c r="C24" s="33">
        <v>0.1076388888888889</v>
      </c>
      <c r="D24" s="33">
        <v>0.14583333333333334</v>
      </c>
      <c r="E24" s="33">
        <v>0.18680555555555556</v>
      </c>
      <c r="F24" s="33">
        <v>0.23055555555555554</v>
      </c>
      <c r="G24" s="33">
        <v>0.27499999999999997</v>
      </c>
      <c r="H24" s="33">
        <v>0.31597222222222221</v>
      </c>
      <c r="I24" s="33">
        <v>0.35416666666666669</v>
      </c>
      <c r="J24" s="33">
        <v>0.3888888888888889</v>
      </c>
      <c r="K24" s="33">
        <v>0.42152777777777778</v>
      </c>
      <c r="L24" s="33">
        <v>0.45069444444444445</v>
      </c>
      <c r="M24" s="33">
        <v>0.47986111111111113</v>
      </c>
      <c r="N24" s="33">
        <v>0.51250000000000007</v>
      </c>
      <c r="O24" s="33">
        <v>0.54722222222222217</v>
      </c>
      <c r="P24" s="33">
        <v>0.5854166666666667</v>
      </c>
      <c r="Q24" s="33">
        <v>0.62638888888888888</v>
      </c>
      <c r="R24" s="33">
        <v>0.67083333333333339</v>
      </c>
      <c r="S24" s="33">
        <v>0.71458333333333324</v>
      </c>
      <c r="T24" s="33">
        <v>0.75555555555555554</v>
      </c>
      <c r="U24" s="33">
        <v>0.79375000000000007</v>
      </c>
      <c r="V24" s="33">
        <v>0.82847222222222217</v>
      </c>
      <c r="W24" s="33">
        <v>0.86111111111111116</v>
      </c>
      <c r="X24" s="33">
        <v>0.89027777777777783</v>
      </c>
      <c r="Y24" s="33">
        <v>0.9194444444444444</v>
      </c>
      <c r="Z24" s="33">
        <v>0.95208333333333339</v>
      </c>
      <c r="AA24" s="33">
        <v>0.9868055555555556</v>
      </c>
      <c r="AB24" s="33">
        <v>2.4999999999999998E-2</v>
      </c>
      <c r="AC24" s="33">
        <v>6.5972222222222224E-2</v>
      </c>
      <c r="AD24" s="33">
        <v>0.11041666666666666</v>
      </c>
      <c r="AE24" s="33">
        <v>0.15416666666666667</v>
      </c>
      <c r="AF24" s="33">
        <v>0.19513888888888889</v>
      </c>
    </row>
    <row r="25" spans="1:52" x14ac:dyDescent="0.25">
      <c r="A25" s="32" t="s">
        <v>3</v>
      </c>
      <c r="B25" s="32">
        <v>4.5082171569999998</v>
      </c>
      <c r="C25" s="32">
        <v>4.5734152259999998</v>
      </c>
      <c r="D25" s="32">
        <v>4.8852827620000001</v>
      </c>
      <c r="E25" s="32">
        <v>5.3898950350000003</v>
      </c>
      <c r="F25" s="32">
        <v>6</v>
      </c>
      <c r="G25" s="32">
        <v>6.4880839720000001</v>
      </c>
      <c r="H25" s="32">
        <v>6.8917737910000003</v>
      </c>
      <c r="I25" s="32">
        <v>7.1412678200000004</v>
      </c>
      <c r="J25" s="32">
        <v>7.1934262740000001</v>
      </c>
      <c r="K25" s="32">
        <v>7.039230485</v>
      </c>
      <c r="L25" s="32">
        <v>6.7053423030000001</v>
      </c>
      <c r="M25" s="32">
        <v>6.2494940290000001</v>
      </c>
      <c r="N25" s="32">
        <v>5.7505059709999999</v>
      </c>
      <c r="O25" s="32">
        <v>5.2946576969999999</v>
      </c>
      <c r="P25" s="32">
        <v>4.960769515</v>
      </c>
      <c r="Q25" s="32">
        <v>4.8065737259999999</v>
      </c>
      <c r="R25" s="32">
        <v>4.8587321799999996</v>
      </c>
      <c r="S25" s="32">
        <v>5.1082262089999997</v>
      </c>
      <c r="T25" s="32">
        <v>5.5119160279999999</v>
      </c>
      <c r="U25" s="32">
        <v>6</v>
      </c>
      <c r="V25" s="32">
        <v>6.6101049649999997</v>
      </c>
      <c r="W25" s="32">
        <v>7.1147172379999999</v>
      </c>
      <c r="X25" s="32">
        <v>7.4265847740000002</v>
      </c>
      <c r="Y25" s="32">
        <v>7.4917828430000002</v>
      </c>
      <c r="Z25" s="32">
        <v>7.2990381060000002</v>
      </c>
      <c r="AA25" s="32">
        <v>6.8816778779999996</v>
      </c>
      <c r="AB25" s="32">
        <v>6.3118675360000003</v>
      </c>
      <c r="AC25" s="32">
        <v>5.6881324639999997</v>
      </c>
      <c r="AD25" s="32">
        <v>5.1183221220000004</v>
      </c>
      <c r="AE25" s="32">
        <v>4.7009618939999998</v>
      </c>
      <c r="AF25" s="32">
        <v>4.5082171569999998</v>
      </c>
    </row>
    <row r="26" spans="1:52" x14ac:dyDescent="0.25">
      <c r="A26" s="32" t="s">
        <v>4</v>
      </c>
      <c r="B26" s="33">
        <v>0.85416666666666663</v>
      </c>
      <c r="C26" s="33">
        <v>0.88888888888888884</v>
      </c>
      <c r="D26" s="33">
        <v>0.92708333333333337</v>
      </c>
      <c r="E26" s="33">
        <v>0.96805555555555556</v>
      </c>
      <c r="F26" s="33">
        <v>1.1805555555555555E-2</v>
      </c>
      <c r="G26" s="33">
        <v>5.6250000000000001E-2</v>
      </c>
      <c r="H26" s="33">
        <v>9.7222222222222224E-2</v>
      </c>
      <c r="I26" s="33">
        <v>0.13541666666666666</v>
      </c>
      <c r="J26" s="33">
        <v>0.17013888888888887</v>
      </c>
      <c r="K26" s="33">
        <v>0.20277777777777781</v>
      </c>
      <c r="L26" s="33">
        <v>0.23194444444444443</v>
      </c>
      <c r="M26" s="33">
        <v>0.26111111111111113</v>
      </c>
      <c r="N26" s="33">
        <v>0.29375000000000001</v>
      </c>
      <c r="O26" s="33">
        <v>0.32847222222222222</v>
      </c>
      <c r="P26" s="33">
        <v>0.3666666666666667</v>
      </c>
      <c r="Q26" s="33">
        <v>0.40763888888888888</v>
      </c>
      <c r="R26" s="33">
        <v>0.45208333333333334</v>
      </c>
      <c r="S26" s="33">
        <v>0.49583333333333335</v>
      </c>
      <c r="T26" s="33">
        <v>0.53680555555555554</v>
      </c>
      <c r="U26" s="33">
        <v>0.57500000000000007</v>
      </c>
      <c r="V26" s="33">
        <v>0.60972222222222217</v>
      </c>
      <c r="W26" s="33">
        <v>0.64236111111111105</v>
      </c>
      <c r="X26" s="33">
        <v>0.67152777777777783</v>
      </c>
      <c r="Y26" s="33">
        <v>0.7006944444444444</v>
      </c>
      <c r="Z26" s="33">
        <v>0.73333333333333339</v>
      </c>
      <c r="AA26" s="33">
        <v>0.7680555555555556</v>
      </c>
      <c r="AB26" s="33">
        <v>0.80625000000000002</v>
      </c>
      <c r="AC26" s="33">
        <v>0.84722222222222221</v>
      </c>
      <c r="AD26" s="33">
        <v>0.89166666666666661</v>
      </c>
      <c r="AE26" s="33">
        <v>0.93541666666666667</v>
      </c>
      <c r="AF26" s="33">
        <v>0.97638888888888886</v>
      </c>
    </row>
    <row r="27" spans="1:52" x14ac:dyDescent="0.25">
      <c r="A27" s="32" t="s">
        <v>3</v>
      </c>
      <c r="B27" s="32">
        <v>0.79547153699999995</v>
      </c>
      <c r="C27" s="32">
        <v>1.209016994</v>
      </c>
      <c r="D27" s="32">
        <v>1.5691306060000001</v>
      </c>
      <c r="E27" s="32">
        <v>1.8135454580000001</v>
      </c>
      <c r="F27" s="32">
        <v>1.9</v>
      </c>
      <c r="G27" s="32">
        <v>1.8135454580000001</v>
      </c>
      <c r="H27" s="32">
        <v>1.5691306060000001</v>
      </c>
      <c r="I27" s="32">
        <v>1.209016994</v>
      </c>
      <c r="J27" s="32">
        <v>0.79547153699999995</v>
      </c>
      <c r="K27" s="32">
        <v>0.85</v>
      </c>
      <c r="L27" s="32">
        <v>0.63368810399999997</v>
      </c>
      <c r="M27" s="32">
        <v>0.51529667899999998</v>
      </c>
      <c r="N27" s="32">
        <v>0.51529667899999998</v>
      </c>
      <c r="O27" s="32">
        <v>0.63368810399999997</v>
      </c>
      <c r="P27" s="32">
        <v>0.85</v>
      </c>
      <c r="Q27" s="32">
        <v>1.1268300760000001</v>
      </c>
      <c r="R27" s="32">
        <v>1.4163118960000001</v>
      </c>
      <c r="S27" s="32">
        <v>1.668391424</v>
      </c>
      <c r="T27" s="32">
        <v>1.83948182</v>
      </c>
      <c r="U27" s="32">
        <v>1.9</v>
      </c>
      <c r="V27" s="32">
        <v>1.83948182</v>
      </c>
      <c r="W27" s="32">
        <v>1.668391424</v>
      </c>
      <c r="X27" s="32">
        <v>1.4163118960000001</v>
      </c>
      <c r="Y27" s="32">
        <v>0.79547153699999995</v>
      </c>
      <c r="Z27" s="32">
        <v>0.4</v>
      </c>
      <c r="AA27" s="32">
        <v>9.0983006000000005E-2</v>
      </c>
      <c r="AB27" s="32">
        <v>-7.8147600999999997E-2</v>
      </c>
      <c r="AC27" s="32">
        <v>-7.8147600999999997E-2</v>
      </c>
      <c r="AD27" s="32">
        <v>9.0983006000000005E-2</v>
      </c>
      <c r="AE27" s="32">
        <v>0.4</v>
      </c>
      <c r="AF27" s="32">
        <v>0.79547153699999995</v>
      </c>
    </row>
    <row r="28" spans="1:52" x14ac:dyDescent="0.25">
      <c r="A28" s="29" t="s">
        <v>57</v>
      </c>
      <c r="D28" s="10"/>
      <c r="E28" s="10"/>
      <c r="F28" s="10"/>
      <c r="G28" s="10"/>
      <c r="Q28" s="10"/>
      <c r="R28" s="10"/>
      <c r="S28" s="10"/>
      <c r="T28" s="10"/>
      <c r="U28" s="10"/>
    </row>
    <row r="29" spans="1:52" x14ac:dyDescent="0.25">
      <c r="A29" s="5" t="s">
        <v>58</v>
      </c>
      <c r="B29" s="10">
        <f>IF(MIN(B20,B24)&lt;MIN(B22,B26),MIN(B20,B24),MIN(B22,B26))</f>
        <v>7.2916666666666671E-2</v>
      </c>
      <c r="C29" s="10">
        <f t="shared" ref="C29:AF29" si="0">IF(MIN(C20,C24)&lt;MIN(C22,C26),MIN(C20,C24),MIN(C22,C26))</f>
        <v>0.1076388888888889</v>
      </c>
      <c r="D29" s="10">
        <f t="shared" si="0"/>
        <v>0.14583333333333334</v>
      </c>
      <c r="E29" s="10">
        <f t="shared" si="0"/>
        <v>0.18680555555555556</v>
      </c>
      <c r="F29" s="10">
        <f t="shared" si="0"/>
        <v>1.1805555555555555E-2</v>
      </c>
      <c r="G29" s="10">
        <f t="shared" si="0"/>
        <v>5.6250000000000001E-2</v>
      </c>
      <c r="H29" s="10">
        <f t="shared" si="0"/>
        <v>9.7222222222222224E-2</v>
      </c>
      <c r="I29" s="10">
        <f t="shared" si="0"/>
        <v>0.13541666666666666</v>
      </c>
      <c r="J29" s="10">
        <f t="shared" si="0"/>
        <v>0.17013888888888887</v>
      </c>
      <c r="K29" s="10">
        <f t="shared" si="0"/>
        <v>0.20277777777777781</v>
      </c>
      <c r="L29" s="10">
        <f t="shared" si="0"/>
        <v>0.23194444444444443</v>
      </c>
      <c r="M29" s="10">
        <f t="shared" si="0"/>
        <v>0.26111111111111113</v>
      </c>
      <c r="N29" s="10">
        <f t="shared" si="0"/>
        <v>2.2916666666666669E-2</v>
      </c>
      <c r="O29" s="10">
        <f t="shared" si="0"/>
        <v>5.7638888888888885E-2</v>
      </c>
      <c r="P29" s="10">
        <f t="shared" si="0"/>
        <v>9.5833333333333326E-2</v>
      </c>
      <c r="Q29" s="10">
        <f t="shared" si="0"/>
        <v>0.13680555555555554</v>
      </c>
      <c r="R29" s="10">
        <f t="shared" si="0"/>
        <v>0.18124999999999999</v>
      </c>
      <c r="S29" s="10">
        <f t="shared" si="0"/>
        <v>0.22500000000000001</v>
      </c>
      <c r="T29" s="10">
        <f t="shared" si="0"/>
        <v>1.2499999999999999E-2</v>
      </c>
      <c r="U29" s="10">
        <f t="shared" si="0"/>
        <v>5.0694444444444452E-2</v>
      </c>
      <c r="V29" s="10">
        <f t="shared" si="0"/>
        <v>8.5416666666666655E-2</v>
      </c>
      <c r="W29" s="10">
        <f t="shared" si="0"/>
        <v>0.11805555555555557</v>
      </c>
      <c r="X29" s="10">
        <f t="shared" si="0"/>
        <v>0.14722222222222223</v>
      </c>
      <c r="Y29" s="10">
        <f t="shared" si="0"/>
        <v>0.1763888888888889</v>
      </c>
      <c r="Z29" s="10">
        <f t="shared" si="0"/>
        <v>0.20902777777777778</v>
      </c>
      <c r="AA29" s="10">
        <f t="shared" si="0"/>
        <v>0.24374999999999999</v>
      </c>
      <c r="AB29" s="10">
        <f t="shared" si="0"/>
        <v>2.4999999999999998E-2</v>
      </c>
      <c r="AC29" s="10">
        <f t="shared" si="0"/>
        <v>6.5972222222222224E-2</v>
      </c>
      <c r="AD29" s="10">
        <f t="shared" si="0"/>
        <v>0.11041666666666666</v>
      </c>
      <c r="AE29" s="10">
        <f t="shared" si="0"/>
        <v>0.15416666666666667</v>
      </c>
      <c r="AF29" s="10">
        <f t="shared" si="0"/>
        <v>0.19513888888888889</v>
      </c>
      <c r="AG29" s="10"/>
      <c r="AH29" s="10"/>
      <c r="AI29" s="10"/>
      <c r="AJ29" s="10"/>
    </row>
    <row r="30" spans="1:52" x14ac:dyDescent="0.25">
      <c r="A30" s="5" t="s">
        <v>59</v>
      </c>
      <c r="B30" s="10">
        <f t="shared" ref="B30:AF30" si="1">IF(MAX(B20,B24)&gt;MAX(B22,B26),MIN(B20,B24),MIN(B22,B26))</f>
        <v>0.3298611111111111</v>
      </c>
      <c r="C30" s="10">
        <f t="shared" si="1"/>
        <v>0.36458333333333331</v>
      </c>
      <c r="D30" s="10">
        <f t="shared" si="1"/>
        <v>0.40277777777777773</v>
      </c>
      <c r="E30" s="10">
        <f t="shared" si="1"/>
        <v>0.44375000000000003</v>
      </c>
      <c r="F30" s="10">
        <f t="shared" si="1"/>
        <v>0.23055555555555554</v>
      </c>
      <c r="G30" s="10">
        <f t="shared" si="1"/>
        <v>0.27499999999999997</v>
      </c>
      <c r="H30" s="10">
        <f t="shared" si="1"/>
        <v>0.31597222222222221</v>
      </c>
      <c r="I30" s="10">
        <f t="shared" si="1"/>
        <v>0.35416666666666669</v>
      </c>
      <c r="J30" s="10">
        <f t="shared" si="1"/>
        <v>0.3888888888888889</v>
      </c>
      <c r="K30" s="10">
        <f t="shared" si="1"/>
        <v>0.42152777777777778</v>
      </c>
      <c r="L30" s="10">
        <f t="shared" si="1"/>
        <v>0.45069444444444445</v>
      </c>
      <c r="M30" s="10">
        <f t="shared" si="1"/>
        <v>0.47986111111111113</v>
      </c>
      <c r="N30" s="10">
        <f t="shared" si="1"/>
        <v>0.29375000000000001</v>
      </c>
      <c r="O30" s="10">
        <f t="shared" si="1"/>
        <v>0.32847222222222222</v>
      </c>
      <c r="P30" s="10">
        <f t="shared" si="1"/>
        <v>0.3666666666666667</v>
      </c>
      <c r="Q30" s="10">
        <f t="shared" si="1"/>
        <v>0.40763888888888888</v>
      </c>
      <c r="R30" s="10">
        <f t="shared" si="1"/>
        <v>0.45208333333333334</v>
      </c>
      <c r="S30" s="10">
        <f t="shared" si="1"/>
        <v>0.49583333333333335</v>
      </c>
      <c r="T30" s="10">
        <f t="shared" si="1"/>
        <v>0.26597222222222222</v>
      </c>
      <c r="U30" s="10">
        <f t="shared" si="1"/>
        <v>0.30416666666666664</v>
      </c>
      <c r="V30" s="10">
        <f t="shared" si="1"/>
        <v>0.33888888888888885</v>
      </c>
      <c r="W30" s="10">
        <f t="shared" si="1"/>
        <v>0.37152777777777773</v>
      </c>
      <c r="X30" s="10">
        <f t="shared" si="1"/>
        <v>0.40069444444444446</v>
      </c>
      <c r="Y30" s="10">
        <f t="shared" si="1"/>
        <v>0.42986111111111108</v>
      </c>
      <c r="Z30" s="10">
        <f t="shared" si="1"/>
        <v>0.46249999999999997</v>
      </c>
      <c r="AA30" s="10">
        <f t="shared" si="1"/>
        <v>0.49722222222222223</v>
      </c>
      <c r="AB30" s="10">
        <f t="shared" si="1"/>
        <v>0.28194444444444444</v>
      </c>
      <c r="AC30" s="10">
        <f t="shared" si="1"/>
        <v>0.32291666666666669</v>
      </c>
      <c r="AD30" s="10">
        <f t="shared" si="1"/>
        <v>0.36736111111111108</v>
      </c>
      <c r="AE30" s="10">
        <f t="shared" si="1"/>
        <v>0.41111111111111115</v>
      </c>
      <c r="AF30" s="10">
        <f t="shared" si="1"/>
        <v>0.45208333333333334</v>
      </c>
      <c r="AG30" s="10"/>
      <c r="AH30" s="10"/>
      <c r="AI30" s="10"/>
      <c r="AJ30" s="10"/>
    </row>
    <row r="31" spans="1:52" x14ac:dyDescent="0.25">
      <c r="A31" s="5" t="s">
        <v>60</v>
      </c>
      <c r="B31" s="10">
        <f t="shared" ref="B31:AF31" si="2">IF(MIN(B20,B24)&lt;MIN(B22,B26),MAX(B20,B24),MAX(B22,B26))</f>
        <v>0.58333333333333337</v>
      </c>
      <c r="C31" s="10">
        <f t="shared" si="2"/>
        <v>0.61805555555555558</v>
      </c>
      <c r="D31" s="10">
        <f t="shared" si="2"/>
        <v>0.65625</v>
      </c>
      <c r="E31" s="10">
        <f t="shared" si="2"/>
        <v>0.6972222222222223</v>
      </c>
      <c r="F31" s="10">
        <f t="shared" si="2"/>
        <v>0.48749999999999999</v>
      </c>
      <c r="G31" s="10">
        <f t="shared" si="2"/>
        <v>0.53194444444444444</v>
      </c>
      <c r="H31" s="10">
        <f t="shared" si="2"/>
        <v>0.57291666666666663</v>
      </c>
      <c r="I31" s="10">
        <f t="shared" si="2"/>
        <v>0.61111111111111105</v>
      </c>
      <c r="J31" s="10">
        <f t="shared" si="2"/>
        <v>0.64583333333333337</v>
      </c>
      <c r="K31" s="10">
        <f t="shared" si="2"/>
        <v>0.67847222222222225</v>
      </c>
      <c r="L31" s="10">
        <f t="shared" si="2"/>
        <v>0.70763888888888893</v>
      </c>
      <c r="M31" s="10">
        <f t="shared" si="2"/>
        <v>0.7368055555555556</v>
      </c>
      <c r="N31" s="10">
        <f t="shared" si="2"/>
        <v>0.51250000000000007</v>
      </c>
      <c r="O31" s="10">
        <f t="shared" si="2"/>
        <v>0.54722222222222217</v>
      </c>
      <c r="P31" s="10">
        <f t="shared" si="2"/>
        <v>0.5854166666666667</v>
      </c>
      <c r="Q31" s="10">
        <f t="shared" si="2"/>
        <v>0.62638888888888888</v>
      </c>
      <c r="R31" s="10">
        <f t="shared" si="2"/>
        <v>0.67083333333333339</v>
      </c>
      <c r="S31" s="10">
        <f t="shared" si="2"/>
        <v>0.71458333333333324</v>
      </c>
      <c r="T31" s="10">
        <f t="shared" si="2"/>
        <v>0.53680555555555554</v>
      </c>
      <c r="U31" s="10">
        <f t="shared" si="2"/>
        <v>0.57500000000000007</v>
      </c>
      <c r="V31" s="10">
        <f t="shared" si="2"/>
        <v>0.60972222222222217</v>
      </c>
      <c r="W31" s="10">
        <f t="shared" si="2"/>
        <v>0.64236111111111105</v>
      </c>
      <c r="X31" s="10">
        <f t="shared" si="2"/>
        <v>0.67152777777777783</v>
      </c>
      <c r="Y31" s="10">
        <f t="shared" si="2"/>
        <v>0.7006944444444444</v>
      </c>
      <c r="Z31" s="10">
        <f t="shared" si="2"/>
        <v>0.73333333333333339</v>
      </c>
      <c r="AA31" s="10">
        <f t="shared" si="2"/>
        <v>0.7680555555555556</v>
      </c>
      <c r="AB31" s="10">
        <f t="shared" si="2"/>
        <v>0.53541666666666665</v>
      </c>
      <c r="AC31" s="10">
        <f t="shared" si="2"/>
        <v>0.57638888888888895</v>
      </c>
      <c r="AD31" s="10">
        <f t="shared" si="2"/>
        <v>0.62083333333333335</v>
      </c>
      <c r="AE31" s="10">
        <f t="shared" si="2"/>
        <v>0.6645833333333333</v>
      </c>
      <c r="AF31" s="10">
        <f t="shared" si="2"/>
        <v>0.7055555555555556</v>
      </c>
      <c r="AG31" s="10"/>
      <c r="AH31" s="10"/>
      <c r="AI31" s="10"/>
      <c r="AJ31" s="10"/>
    </row>
    <row r="32" spans="1:52" x14ac:dyDescent="0.25">
      <c r="A32" s="5" t="s">
        <v>61</v>
      </c>
      <c r="B32" s="10">
        <f t="shared" ref="B32:AF32" si="3">IF(MAX(B20,B24)&gt;MAX(B22,B26),MAX(B20,B24),MAX(B22,B26))</f>
        <v>0.85416666666666663</v>
      </c>
      <c r="C32" s="10">
        <f t="shared" si="3"/>
        <v>0.88888888888888884</v>
      </c>
      <c r="D32" s="10">
        <f t="shared" si="3"/>
        <v>0.92708333333333337</v>
      </c>
      <c r="E32" s="10">
        <f t="shared" si="3"/>
        <v>0.96805555555555556</v>
      </c>
      <c r="F32" s="10">
        <f t="shared" si="3"/>
        <v>0.74097222222222225</v>
      </c>
      <c r="G32" s="10">
        <f t="shared" si="3"/>
        <v>0.78541666666666676</v>
      </c>
      <c r="H32" s="10">
        <f t="shared" si="3"/>
        <v>0.82638888888888884</v>
      </c>
      <c r="I32" s="10">
        <f t="shared" si="3"/>
        <v>0.86458333333333337</v>
      </c>
      <c r="J32" s="10">
        <f t="shared" si="3"/>
        <v>0.89930555555555547</v>
      </c>
      <c r="K32" s="10">
        <f t="shared" si="3"/>
        <v>0.93194444444444446</v>
      </c>
      <c r="L32" s="10">
        <f t="shared" si="3"/>
        <v>0.96111111111111114</v>
      </c>
      <c r="M32" s="10">
        <f t="shared" si="3"/>
        <v>0.9902777777777777</v>
      </c>
      <c r="N32" s="10">
        <f t="shared" si="3"/>
        <v>0.76944444444444438</v>
      </c>
      <c r="O32" s="10">
        <f t="shared" si="3"/>
        <v>0.8041666666666667</v>
      </c>
      <c r="P32" s="10">
        <f t="shared" si="3"/>
        <v>0.84236111111111101</v>
      </c>
      <c r="Q32" s="10">
        <f t="shared" si="3"/>
        <v>0.8833333333333333</v>
      </c>
      <c r="R32" s="10">
        <f t="shared" si="3"/>
        <v>0.9277777777777777</v>
      </c>
      <c r="S32" s="10">
        <f t="shared" si="3"/>
        <v>0.97152777777777777</v>
      </c>
      <c r="T32" s="10">
        <f t="shared" si="3"/>
        <v>0.75555555555555554</v>
      </c>
      <c r="U32" s="10">
        <f t="shared" si="3"/>
        <v>0.79375000000000007</v>
      </c>
      <c r="V32" s="10">
        <f t="shared" si="3"/>
        <v>0.82847222222222217</v>
      </c>
      <c r="W32" s="10">
        <f t="shared" si="3"/>
        <v>0.86111111111111116</v>
      </c>
      <c r="X32" s="10">
        <f t="shared" si="3"/>
        <v>0.89027777777777783</v>
      </c>
      <c r="Y32" s="10">
        <f t="shared" si="3"/>
        <v>0.9194444444444444</v>
      </c>
      <c r="Z32" s="10">
        <f t="shared" si="3"/>
        <v>0.95208333333333339</v>
      </c>
      <c r="AA32" s="10">
        <f t="shared" si="3"/>
        <v>0.9868055555555556</v>
      </c>
      <c r="AB32" s="10">
        <f t="shared" si="3"/>
        <v>0.80625000000000002</v>
      </c>
      <c r="AC32" s="10">
        <f t="shared" si="3"/>
        <v>0.84722222222222221</v>
      </c>
      <c r="AD32" s="10">
        <f t="shared" si="3"/>
        <v>0.89166666666666661</v>
      </c>
      <c r="AE32" s="10">
        <f t="shared" si="3"/>
        <v>0.93541666666666667</v>
      </c>
      <c r="AF32" s="10">
        <f t="shared" si="3"/>
        <v>0.97638888888888886</v>
      </c>
      <c r="AG32" s="10"/>
      <c r="AH32" s="10"/>
      <c r="AI32" s="10"/>
      <c r="AJ32" s="10"/>
    </row>
    <row r="33" spans="1:36" x14ac:dyDescent="0.25">
      <c r="A33" s="5" t="s">
        <v>62</v>
      </c>
      <c r="B33" s="23">
        <f>INDEX(B$20:B$27,MATCH(B29,B$20:B$27,0)+1,1)</f>
        <v>4.5082171569999998</v>
      </c>
      <c r="C33" s="23">
        <f t="shared" ref="C33:AF36" si="4">INDEX(C$20:C$27,MATCH(C29,C$20:C$27,0)+1,1)</f>
        <v>4.5734152259999998</v>
      </c>
      <c r="D33" s="23">
        <f t="shared" si="4"/>
        <v>4.8852827620000001</v>
      </c>
      <c r="E33" s="23">
        <f t="shared" si="4"/>
        <v>5.3898950350000003</v>
      </c>
      <c r="F33" s="23">
        <f t="shared" si="4"/>
        <v>1.9</v>
      </c>
      <c r="G33" s="23">
        <f t="shared" si="4"/>
        <v>1.8135454580000001</v>
      </c>
      <c r="H33" s="23">
        <f t="shared" si="4"/>
        <v>1.5691306060000001</v>
      </c>
      <c r="I33" s="23">
        <f t="shared" si="4"/>
        <v>1.209016994</v>
      </c>
      <c r="J33" s="23">
        <f t="shared" si="4"/>
        <v>0.79547153699999995</v>
      </c>
      <c r="K33" s="23">
        <f t="shared" si="4"/>
        <v>0.85</v>
      </c>
      <c r="L33" s="23">
        <f t="shared" si="4"/>
        <v>0.63368810399999997</v>
      </c>
      <c r="M33" s="23">
        <f t="shared" si="4"/>
        <v>0.51529667899999998</v>
      </c>
      <c r="N33" s="23">
        <f t="shared" si="4"/>
        <v>5.7505059709999999</v>
      </c>
      <c r="O33" s="23">
        <f t="shared" si="4"/>
        <v>5.2946576969999999</v>
      </c>
      <c r="P33" s="23">
        <f t="shared" si="4"/>
        <v>4.960769515</v>
      </c>
      <c r="Q33" s="23">
        <f t="shared" si="4"/>
        <v>4.8065737259999999</v>
      </c>
      <c r="R33" s="23">
        <f t="shared" si="4"/>
        <v>4.8587321799999996</v>
      </c>
      <c r="S33" s="23">
        <f t="shared" si="4"/>
        <v>5.1082262089999997</v>
      </c>
      <c r="T33" s="23">
        <f t="shared" si="4"/>
        <v>2.1394818199999999</v>
      </c>
      <c r="U33" s="23">
        <f t="shared" si="4"/>
        <v>2.2000000000000002</v>
      </c>
      <c r="V33" s="23">
        <f t="shared" si="4"/>
        <v>2.1394818199999999</v>
      </c>
      <c r="W33" s="23">
        <f t="shared" si="4"/>
        <v>1.968391424</v>
      </c>
      <c r="X33" s="23">
        <f t="shared" si="4"/>
        <v>1.7163118959999999</v>
      </c>
      <c r="Y33" s="23">
        <f t="shared" si="4"/>
        <v>1.0954715370000001</v>
      </c>
      <c r="Z33" s="23">
        <f t="shared" si="4"/>
        <v>0.7</v>
      </c>
      <c r="AA33" s="23">
        <f t="shared" si="4"/>
        <v>0.39098300600000002</v>
      </c>
      <c r="AB33" s="23">
        <f t="shared" si="4"/>
        <v>6.3118675360000003</v>
      </c>
      <c r="AC33" s="23">
        <f t="shared" si="4"/>
        <v>5.6881324639999997</v>
      </c>
      <c r="AD33" s="23">
        <f t="shared" si="4"/>
        <v>5.1183221220000004</v>
      </c>
      <c r="AE33" s="23">
        <f t="shared" si="4"/>
        <v>4.7009618939999998</v>
      </c>
      <c r="AF33" s="23">
        <f t="shared" si="4"/>
        <v>4.5082171569999998</v>
      </c>
      <c r="AG33" s="23"/>
      <c r="AH33" s="23"/>
      <c r="AI33" s="23"/>
      <c r="AJ33" s="23"/>
    </row>
    <row r="34" spans="1:36" x14ac:dyDescent="0.25">
      <c r="A34" s="5" t="s">
        <v>63</v>
      </c>
      <c r="B34" s="23">
        <f t="shared" ref="B34:Q36" si="5">INDEX(B$20:B$27,MATCH(B30,B$20:B$27,0)+1,1)</f>
        <v>1.0954715370000001</v>
      </c>
      <c r="C34" s="23">
        <f t="shared" si="5"/>
        <v>1.509016994</v>
      </c>
      <c r="D34" s="23">
        <f t="shared" si="5"/>
        <v>1.8691306059999999</v>
      </c>
      <c r="E34" s="23">
        <f t="shared" si="5"/>
        <v>2.1135454579999999</v>
      </c>
      <c r="F34" s="23">
        <f t="shared" si="5"/>
        <v>6</v>
      </c>
      <c r="G34" s="23">
        <f t="shared" si="5"/>
        <v>6.4880839720000001</v>
      </c>
      <c r="H34" s="23">
        <f t="shared" si="5"/>
        <v>6.8917737910000003</v>
      </c>
      <c r="I34" s="23">
        <f t="shared" si="5"/>
        <v>7.1412678200000004</v>
      </c>
      <c r="J34" s="23">
        <f t="shared" si="5"/>
        <v>7.1934262740000001</v>
      </c>
      <c r="K34" s="23">
        <f t="shared" si="5"/>
        <v>7.039230485</v>
      </c>
      <c r="L34" s="23">
        <f t="shared" si="5"/>
        <v>6.7053423030000001</v>
      </c>
      <c r="M34" s="23">
        <f t="shared" si="5"/>
        <v>6.2494940290000001</v>
      </c>
      <c r="N34" s="23">
        <f t="shared" si="5"/>
        <v>0.51529667899999998</v>
      </c>
      <c r="O34" s="23">
        <f t="shared" si="5"/>
        <v>0.63368810399999997</v>
      </c>
      <c r="P34" s="23">
        <f t="shared" si="5"/>
        <v>0.85</v>
      </c>
      <c r="Q34" s="23">
        <f t="shared" si="5"/>
        <v>1.1268300760000001</v>
      </c>
      <c r="R34" s="23">
        <f t="shared" si="4"/>
        <v>1.4163118960000001</v>
      </c>
      <c r="S34" s="23">
        <f t="shared" si="4"/>
        <v>1.668391424</v>
      </c>
      <c r="T34" s="23">
        <f t="shared" si="4"/>
        <v>5.5119160279999999</v>
      </c>
      <c r="U34" s="23">
        <f t="shared" si="4"/>
        <v>6</v>
      </c>
      <c r="V34" s="23">
        <f t="shared" si="4"/>
        <v>6.6101049649999997</v>
      </c>
      <c r="W34" s="23">
        <f t="shared" si="4"/>
        <v>7.1147172379999999</v>
      </c>
      <c r="X34" s="23">
        <f t="shared" si="4"/>
        <v>7.4265847740000002</v>
      </c>
      <c r="Y34" s="23">
        <f t="shared" si="4"/>
        <v>7.4917828430000002</v>
      </c>
      <c r="Z34" s="23">
        <f t="shared" si="4"/>
        <v>7.2990381060000002</v>
      </c>
      <c r="AA34" s="23">
        <f t="shared" si="4"/>
        <v>6.8816778779999996</v>
      </c>
      <c r="AB34" s="23">
        <f t="shared" si="4"/>
        <v>0.22185239900000001</v>
      </c>
      <c r="AC34" s="23">
        <f t="shared" si="4"/>
        <v>0.22185239900000001</v>
      </c>
      <c r="AD34" s="23">
        <f t="shared" si="4"/>
        <v>0.39098300600000002</v>
      </c>
      <c r="AE34" s="23">
        <f t="shared" si="4"/>
        <v>0.7</v>
      </c>
      <c r="AF34" s="23">
        <f t="shared" si="4"/>
        <v>1.0954715370000001</v>
      </c>
    </row>
    <row r="35" spans="1:36" x14ac:dyDescent="0.25">
      <c r="A35" s="5" t="s">
        <v>64</v>
      </c>
      <c r="B35" s="23">
        <f t="shared" si="5"/>
        <v>4.5082171569999998</v>
      </c>
      <c r="C35" s="23">
        <f t="shared" si="4"/>
        <v>4.5734152259999998</v>
      </c>
      <c r="D35" s="23">
        <f t="shared" si="4"/>
        <v>4.8852827620000001</v>
      </c>
      <c r="E35" s="23">
        <f t="shared" si="4"/>
        <v>5.3898950350000003</v>
      </c>
      <c r="F35" s="23">
        <f t="shared" si="4"/>
        <v>2.2000000000000002</v>
      </c>
      <c r="G35" s="23">
        <f t="shared" si="4"/>
        <v>2.1135454579999999</v>
      </c>
      <c r="H35" s="23">
        <f t="shared" si="4"/>
        <v>1.8691306059999999</v>
      </c>
      <c r="I35" s="23">
        <f t="shared" si="4"/>
        <v>1.509016994</v>
      </c>
      <c r="J35" s="23">
        <f t="shared" si="4"/>
        <v>1.0954715370000001</v>
      </c>
      <c r="K35" s="23">
        <f t="shared" si="4"/>
        <v>1.1499999999999999</v>
      </c>
      <c r="L35" s="23">
        <f t="shared" si="4"/>
        <v>0.93368810400000002</v>
      </c>
      <c r="M35" s="23">
        <f t="shared" si="4"/>
        <v>0.81529667900000002</v>
      </c>
      <c r="N35" s="23">
        <f t="shared" si="4"/>
        <v>5.7505059709999999</v>
      </c>
      <c r="O35" s="23">
        <f t="shared" si="4"/>
        <v>5.2946576969999999</v>
      </c>
      <c r="P35" s="23">
        <f t="shared" si="4"/>
        <v>4.960769515</v>
      </c>
      <c r="Q35" s="23">
        <f t="shared" si="4"/>
        <v>4.8065737259999999</v>
      </c>
      <c r="R35" s="23">
        <f t="shared" si="4"/>
        <v>4.8587321799999996</v>
      </c>
      <c r="S35" s="23">
        <f t="shared" si="4"/>
        <v>5.1082262089999997</v>
      </c>
      <c r="T35" s="23">
        <f t="shared" si="4"/>
        <v>1.83948182</v>
      </c>
      <c r="U35" s="23">
        <f t="shared" si="4"/>
        <v>1.9</v>
      </c>
      <c r="V35" s="23">
        <f t="shared" si="4"/>
        <v>1.83948182</v>
      </c>
      <c r="W35" s="23">
        <f t="shared" si="4"/>
        <v>1.668391424</v>
      </c>
      <c r="X35" s="23">
        <f t="shared" si="4"/>
        <v>1.4163118960000001</v>
      </c>
      <c r="Y35" s="23">
        <f t="shared" si="4"/>
        <v>0.79547153699999995</v>
      </c>
      <c r="Z35" s="23">
        <f t="shared" si="4"/>
        <v>0.4</v>
      </c>
      <c r="AA35" s="23">
        <f t="shared" si="4"/>
        <v>9.0983006000000005E-2</v>
      </c>
      <c r="AB35" s="23">
        <f t="shared" si="4"/>
        <v>6.3118675360000003</v>
      </c>
      <c r="AC35" s="23">
        <f t="shared" si="4"/>
        <v>5.6881324639999997</v>
      </c>
      <c r="AD35" s="23">
        <f t="shared" si="4"/>
        <v>5.1183221220000004</v>
      </c>
      <c r="AE35" s="23">
        <f t="shared" si="4"/>
        <v>4.7009618939999998</v>
      </c>
      <c r="AF35" s="23">
        <f t="shared" si="4"/>
        <v>3.5082171569999998</v>
      </c>
    </row>
    <row r="36" spans="1:36" x14ac:dyDescent="0.25">
      <c r="A36" s="5" t="s">
        <v>65</v>
      </c>
      <c r="B36" s="23">
        <f t="shared" si="5"/>
        <v>0.79547153699999995</v>
      </c>
      <c r="C36" s="23">
        <f t="shared" si="4"/>
        <v>1.209016994</v>
      </c>
      <c r="D36" s="23">
        <f t="shared" si="4"/>
        <v>1.5691306060000001</v>
      </c>
      <c r="E36" s="23">
        <f t="shared" si="4"/>
        <v>1.8135454580000001</v>
      </c>
      <c r="F36" s="23">
        <f t="shared" si="4"/>
        <v>6</v>
      </c>
      <c r="G36" s="23">
        <f t="shared" si="4"/>
        <v>6.4880839720000001</v>
      </c>
      <c r="H36" s="23">
        <f t="shared" si="4"/>
        <v>6.8917737910000003</v>
      </c>
      <c r="I36" s="23">
        <f t="shared" si="4"/>
        <v>7.1412678200000004</v>
      </c>
      <c r="J36" s="23">
        <f t="shared" si="4"/>
        <v>7.1934262740000001</v>
      </c>
      <c r="K36" s="23">
        <f t="shared" si="4"/>
        <v>7.039230485</v>
      </c>
      <c r="L36" s="23">
        <f t="shared" si="4"/>
        <v>6.7053423030000001</v>
      </c>
      <c r="M36" s="23">
        <f t="shared" si="4"/>
        <v>6.2494940290000001</v>
      </c>
      <c r="N36" s="23">
        <f t="shared" si="4"/>
        <v>0.81529667900000002</v>
      </c>
      <c r="O36" s="23">
        <f t="shared" si="4"/>
        <v>0.93368810400000002</v>
      </c>
      <c r="P36" s="23">
        <f t="shared" si="4"/>
        <v>1.1499999999999999</v>
      </c>
      <c r="Q36" s="23">
        <f t="shared" si="4"/>
        <v>1.4268300759999999</v>
      </c>
      <c r="R36" s="23">
        <f t="shared" si="4"/>
        <v>1.7163118959999999</v>
      </c>
      <c r="S36" s="23">
        <f t="shared" si="4"/>
        <v>1.968391424</v>
      </c>
      <c r="T36" s="23">
        <f t="shared" si="4"/>
        <v>5.5119160279999999</v>
      </c>
      <c r="U36" s="23">
        <f t="shared" si="4"/>
        <v>6</v>
      </c>
      <c r="V36" s="23">
        <f t="shared" si="4"/>
        <v>6.6101049649999997</v>
      </c>
      <c r="W36" s="23">
        <f t="shared" si="4"/>
        <v>7.1147172379999999</v>
      </c>
      <c r="X36" s="23">
        <f t="shared" si="4"/>
        <v>7.4265847740000002</v>
      </c>
      <c r="Y36" s="23">
        <f t="shared" si="4"/>
        <v>7.4917828430000002</v>
      </c>
      <c r="Z36" s="23">
        <f t="shared" si="4"/>
        <v>7.2990381060000002</v>
      </c>
      <c r="AA36" s="23">
        <f t="shared" si="4"/>
        <v>6.8816778779999996</v>
      </c>
      <c r="AB36" s="23">
        <f t="shared" si="4"/>
        <v>-7.8147600999999997E-2</v>
      </c>
      <c r="AC36" s="23">
        <f t="shared" si="4"/>
        <v>-7.8147600999999997E-2</v>
      </c>
      <c r="AD36" s="23">
        <f t="shared" si="4"/>
        <v>9.0983006000000005E-2</v>
      </c>
      <c r="AE36" s="23">
        <f t="shared" si="4"/>
        <v>0.4</v>
      </c>
      <c r="AF36" s="23">
        <f t="shared" si="4"/>
        <v>0.79547153699999995</v>
      </c>
    </row>
    <row r="37" spans="1:36" x14ac:dyDescent="0.25">
      <c r="F37" s="10"/>
    </row>
    <row r="38" spans="1:36" x14ac:dyDescent="0.25">
      <c r="F38" s="23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76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E1" workbookViewId="0">
      <selection activeCell="AL31" sqref="AL31"/>
    </sheetView>
  </sheetViews>
  <sheetFormatPr defaultRowHeight="15" x14ac:dyDescent="0.25"/>
  <cols>
    <col min="1" max="1" width="19.42578125" bestFit="1" customWidth="1"/>
    <col min="2" max="2" width="11.5703125" customWidth="1"/>
    <col min="3" max="3" width="11.7109375" customWidth="1"/>
    <col min="4" max="4" width="12.140625" customWidth="1"/>
    <col min="5" max="5" width="10.7109375" customWidth="1"/>
    <col min="6" max="6" width="11.85546875" customWidth="1"/>
    <col min="7" max="7" width="12" customWidth="1"/>
    <col min="8" max="8" width="11.5703125" customWidth="1"/>
    <col min="9" max="9" width="11.7109375" customWidth="1"/>
    <col min="10" max="10" width="11.5703125" customWidth="1"/>
    <col min="11" max="12" width="11.7109375" customWidth="1"/>
    <col min="13" max="14" width="11.85546875" customWidth="1"/>
    <col min="15" max="15" width="12.28515625" customWidth="1"/>
    <col min="16" max="16" width="11.5703125" customWidth="1"/>
    <col min="17" max="17" width="11.7109375" customWidth="1"/>
    <col min="18" max="18" width="11.5703125" customWidth="1"/>
    <col min="19" max="19" width="11.7109375" customWidth="1"/>
    <col min="20" max="20" width="10.7109375" bestFit="1" customWidth="1"/>
    <col min="21" max="32" width="11.7109375" customWidth="1"/>
    <col min="33" max="41" width="10.7109375" bestFit="1" customWidth="1"/>
    <col min="45" max="45" width="9.5703125" bestFit="1" customWidth="1"/>
  </cols>
  <sheetData>
    <row r="1" spans="1:47" ht="62.25" customHeight="1" x14ac:dyDescent="0.25">
      <c r="A1" t="s">
        <v>0</v>
      </c>
    </row>
    <row r="2" spans="1:47" s="3" customFormat="1" ht="44.25" customHeight="1" x14ac:dyDescent="0.25">
      <c r="A2" s="3" t="s">
        <v>9</v>
      </c>
      <c r="B2" s="3" t="s">
        <v>10</v>
      </c>
      <c r="C2" s="3" t="s">
        <v>11</v>
      </c>
      <c r="D2" s="3" t="s">
        <v>11</v>
      </c>
      <c r="E2" s="3" t="s">
        <v>13</v>
      </c>
      <c r="F2" s="3" t="s">
        <v>13</v>
      </c>
      <c r="G2" s="3" t="s">
        <v>14</v>
      </c>
      <c r="H2" s="3" t="s">
        <v>15</v>
      </c>
      <c r="I2" s="3" t="s">
        <v>15</v>
      </c>
      <c r="J2" s="3" t="s">
        <v>16</v>
      </c>
      <c r="K2" s="3" t="s">
        <v>16</v>
      </c>
      <c r="L2" s="3" t="s">
        <v>13</v>
      </c>
      <c r="M2" s="3" t="s">
        <v>13</v>
      </c>
      <c r="N2" s="3" t="s">
        <v>17</v>
      </c>
      <c r="O2" s="3" t="s">
        <v>18</v>
      </c>
      <c r="P2" s="3" t="s">
        <v>18</v>
      </c>
      <c r="Q2" s="3" t="s">
        <v>18</v>
      </c>
      <c r="R2" s="3" t="s">
        <v>19</v>
      </c>
      <c r="S2" s="3" t="s">
        <v>19</v>
      </c>
      <c r="T2" s="3" t="s">
        <v>20</v>
      </c>
      <c r="U2" s="3" t="s">
        <v>20</v>
      </c>
      <c r="V2" s="3" t="s">
        <v>21</v>
      </c>
      <c r="W2" s="3" t="s">
        <v>21</v>
      </c>
      <c r="X2" s="3" t="s">
        <v>22</v>
      </c>
      <c r="Y2" s="3" t="s">
        <v>22</v>
      </c>
      <c r="Z2" s="3" t="s">
        <v>23</v>
      </c>
      <c r="AA2" s="3" t="s">
        <v>20</v>
      </c>
      <c r="AB2" s="3" t="s">
        <v>20</v>
      </c>
      <c r="AC2" s="3" t="s">
        <v>24</v>
      </c>
      <c r="AD2" s="3" t="s">
        <v>24</v>
      </c>
      <c r="AE2" s="3" t="s">
        <v>10</v>
      </c>
      <c r="AF2" s="3" t="s">
        <v>10</v>
      </c>
    </row>
    <row r="3" spans="1:47" s="3" customFormat="1" ht="19.5" customHeight="1" x14ac:dyDescent="0.25">
      <c r="B3" s="3">
        <v>24</v>
      </c>
      <c r="C3" s="3">
        <v>25</v>
      </c>
      <c r="D3" s="3">
        <v>26</v>
      </c>
      <c r="E3" s="3">
        <v>27</v>
      </c>
      <c r="F3" s="3">
        <v>28</v>
      </c>
      <c r="G3" s="3">
        <v>29</v>
      </c>
      <c r="H3" s="3">
        <v>0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</row>
    <row r="4" spans="1:47" ht="16.5" customHeight="1" x14ac:dyDescent="0.25">
      <c r="A4" t="s">
        <v>1</v>
      </c>
      <c r="B4" s="1">
        <v>41913</v>
      </c>
      <c r="C4" s="1">
        <v>41914</v>
      </c>
      <c r="D4" s="1">
        <v>41915</v>
      </c>
      <c r="E4" s="1">
        <v>41916</v>
      </c>
      <c r="F4" s="1">
        <v>41917</v>
      </c>
      <c r="G4" s="1">
        <v>41918</v>
      </c>
      <c r="H4" s="1">
        <v>41919</v>
      </c>
      <c r="I4" s="1">
        <v>41920</v>
      </c>
      <c r="J4" s="1">
        <v>41921</v>
      </c>
      <c r="K4" s="1">
        <v>41922</v>
      </c>
      <c r="L4" s="1">
        <v>41923</v>
      </c>
      <c r="M4" s="1">
        <v>41924</v>
      </c>
      <c r="N4" s="1">
        <v>41925</v>
      </c>
      <c r="O4" s="1">
        <v>41926</v>
      </c>
      <c r="P4" s="1">
        <v>41927</v>
      </c>
      <c r="Q4" s="1">
        <v>41928</v>
      </c>
      <c r="R4" s="1">
        <v>41929</v>
      </c>
      <c r="S4" s="1">
        <v>41930</v>
      </c>
      <c r="T4" s="1">
        <v>41931</v>
      </c>
      <c r="U4" s="1">
        <v>41932</v>
      </c>
      <c r="V4" s="1">
        <v>41933</v>
      </c>
      <c r="W4" s="1">
        <v>41934</v>
      </c>
      <c r="X4" s="1">
        <v>41935</v>
      </c>
      <c r="Y4" s="1">
        <v>41936</v>
      </c>
      <c r="Z4" s="1">
        <v>41937</v>
      </c>
      <c r="AA4" s="1">
        <v>41938</v>
      </c>
      <c r="AB4" s="1">
        <v>41939</v>
      </c>
      <c r="AC4" s="1">
        <v>41940</v>
      </c>
      <c r="AD4" s="1">
        <v>41941</v>
      </c>
      <c r="AE4" s="1">
        <v>41942</v>
      </c>
      <c r="AF4" s="1">
        <v>41943</v>
      </c>
      <c r="AG4" s="1"/>
      <c r="AH4" s="1"/>
      <c r="AI4" s="1"/>
      <c r="AJ4" s="1"/>
      <c r="AK4" s="1"/>
      <c r="AL4" s="1"/>
      <c r="AM4" s="1"/>
      <c r="AN4" s="1"/>
      <c r="AO4" s="1"/>
    </row>
    <row r="5" spans="1:47" ht="16.5" customHeight="1" x14ac:dyDescent="0.25">
      <c r="A5" t="s">
        <v>25</v>
      </c>
      <c r="B5" s="2">
        <f t="shared" ref="B5:AF5" si="0">IF(B8&lt;TIME(10,0,0),IF(B12&lt;TIME(10,0,0),B19,B12),B8)</f>
        <v>0.74722222222222223</v>
      </c>
      <c r="C5" s="2">
        <f t="shared" si="0"/>
        <v>0.78680555555555554</v>
      </c>
      <c r="D5" s="2">
        <f t="shared" si="0"/>
        <v>0.83680555555555547</v>
      </c>
      <c r="E5" s="2">
        <f t="shared" si="0"/>
        <v>0.9</v>
      </c>
      <c r="F5" s="2">
        <f t="shared" si="0"/>
        <v>0.4201388888888889</v>
      </c>
      <c r="G5" s="2">
        <f t="shared" si="0"/>
        <v>0.46666666666666662</v>
      </c>
      <c r="H5" s="2">
        <f t="shared" si="0"/>
        <v>0.50486111111111109</v>
      </c>
      <c r="I5" s="2">
        <f t="shared" si="0"/>
        <v>0.53819444444444442</v>
      </c>
      <c r="J5" s="2">
        <f t="shared" si="0"/>
        <v>0.56944444444444442</v>
      </c>
      <c r="K5" s="2">
        <f t="shared" si="0"/>
        <v>0.59930555555555554</v>
      </c>
      <c r="L5" s="2">
        <f t="shared" si="0"/>
        <v>0.62847222222222221</v>
      </c>
      <c r="M5" s="2">
        <f t="shared" si="0"/>
        <v>0.65694444444444444</v>
      </c>
      <c r="N5" s="2">
        <f t="shared" si="0"/>
        <v>0.68611111111111101</v>
      </c>
      <c r="O5" s="2">
        <f t="shared" si="0"/>
        <v>0.71597222222222223</v>
      </c>
      <c r="P5" s="2">
        <f t="shared" si="0"/>
        <v>0.74861111111111101</v>
      </c>
      <c r="Q5" s="2">
        <f t="shared" si="0"/>
        <v>0.78819444444444453</v>
      </c>
      <c r="R5" s="2">
        <f t="shared" si="0"/>
        <v>0.84236111111111101</v>
      </c>
      <c r="S5" s="2">
        <f t="shared" si="0"/>
        <v>0.89861111111111114</v>
      </c>
      <c r="T5" s="2">
        <f t="shared" si="0"/>
        <v>0.41666666666666669</v>
      </c>
      <c r="U5" s="2">
        <f t="shared" si="0"/>
        <v>0.45555555555555555</v>
      </c>
      <c r="V5" s="2">
        <f t="shared" si="0"/>
        <v>0.48819444444444443</v>
      </c>
      <c r="W5" s="2">
        <f t="shared" si="0"/>
        <v>0.51736111111111105</v>
      </c>
      <c r="X5" s="2">
        <f t="shared" si="0"/>
        <v>0.54375000000000007</v>
      </c>
      <c r="Y5" s="2">
        <f t="shared" si="0"/>
        <v>0.56874999999999998</v>
      </c>
      <c r="Z5" s="2">
        <f t="shared" si="0"/>
        <v>0.59305555555555556</v>
      </c>
      <c r="AA5" s="2">
        <f t="shared" si="0"/>
        <v>0.57638888888888895</v>
      </c>
      <c r="AB5" s="2">
        <f t="shared" si="0"/>
        <v>0.60277777777777775</v>
      </c>
      <c r="AC5" s="2">
        <f t="shared" si="0"/>
        <v>0.63194444444444442</v>
      </c>
      <c r="AD5" s="2">
        <f t="shared" si="0"/>
        <v>0.66319444444444442</v>
      </c>
      <c r="AE5" s="2">
        <f t="shared" si="0"/>
        <v>0.69861111111111107</v>
      </c>
      <c r="AF5" s="2">
        <f t="shared" si="0"/>
        <v>0.73888888888888893</v>
      </c>
      <c r="AG5" s="1"/>
      <c r="AH5" s="1"/>
      <c r="AI5" s="1"/>
      <c r="AJ5" s="1"/>
      <c r="AK5" s="1"/>
      <c r="AL5" s="1"/>
      <c r="AM5" s="1"/>
      <c r="AN5" s="1"/>
      <c r="AO5" s="1"/>
    </row>
    <row r="6" spans="1:47" ht="16.5" customHeight="1" x14ac:dyDescent="0.25">
      <c r="A6" t="s">
        <v>26</v>
      </c>
      <c r="B6" s="2"/>
      <c r="C6" s="2">
        <f>IF(C5&gt;B5,C5-B5,B5-C5)</f>
        <v>3.9583333333333304E-2</v>
      </c>
      <c r="D6" s="2">
        <f t="shared" ref="D6:AF6" si="1">IF(D5&gt;C5,D5-C5,C5-D5)</f>
        <v>4.9999999999999933E-2</v>
      </c>
      <c r="E6" s="2">
        <f t="shared" si="1"/>
        <v>6.3194444444444553E-2</v>
      </c>
      <c r="F6" s="2">
        <f t="shared" si="1"/>
        <v>0.47986111111111113</v>
      </c>
      <c r="G6" s="2">
        <f t="shared" si="1"/>
        <v>4.6527777777777724E-2</v>
      </c>
      <c r="H6" s="2">
        <f t="shared" si="1"/>
        <v>3.8194444444444475E-2</v>
      </c>
      <c r="I6" s="2">
        <f t="shared" si="1"/>
        <v>3.3333333333333326E-2</v>
      </c>
      <c r="J6" s="2">
        <f t="shared" si="1"/>
        <v>3.125E-2</v>
      </c>
      <c r="K6" s="2">
        <f t="shared" si="1"/>
        <v>2.9861111111111116E-2</v>
      </c>
      <c r="L6" s="2">
        <f t="shared" si="1"/>
        <v>2.9166666666666674E-2</v>
      </c>
      <c r="M6" s="2">
        <f t="shared" si="1"/>
        <v>2.8472222222222232E-2</v>
      </c>
      <c r="N6" s="2">
        <f t="shared" si="1"/>
        <v>2.9166666666666563E-2</v>
      </c>
      <c r="O6" s="2">
        <f t="shared" si="1"/>
        <v>2.9861111111111227E-2</v>
      </c>
      <c r="P6" s="2">
        <f t="shared" si="1"/>
        <v>3.2638888888888773E-2</v>
      </c>
      <c r="Q6" s="2">
        <f t="shared" si="1"/>
        <v>3.9583333333333526E-2</v>
      </c>
      <c r="R6" s="2">
        <f t="shared" si="1"/>
        <v>5.4166666666666474E-2</v>
      </c>
      <c r="S6" s="2">
        <f t="shared" si="1"/>
        <v>5.6250000000000133E-2</v>
      </c>
      <c r="T6" s="2">
        <f t="shared" si="1"/>
        <v>0.48194444444444445</v>
      </c>
      <c r="U6" s="2">
        <f t="shared" si="1"/>
        <v>3.8888888888888862E-2</v>
      </c>
      <c r="V6" s="2">
        <f t="shared" si="1"/>
        <v>3.2638888888888884E-2</v>
      </c>
      <c r="W6" s="2">
        <f t="shared" si="1"/>
        <v>2.9166666666666619E-2</v>
      </c>
      <c r="X6" s="2">
        <f t="shared" si="1"/>
        <v>2.6388888888889017E-2</v>
      </c>
      <c r="Y6" s="2">
        <f t="shared" si="1"/>
        <v>2.4999999999999911E-2</v>
      </c>
      <c r="Z6" s="2">
        <f t="shared" si="1"/>
        <v>2.430555555555558E-2</v>
      </c>
      <c r="AA6" s="2">
        <f t="shared" si="1"/>
        <v>1.6666666666666607E-2</v>
      </c>
      <c r="AB6" s="2">
        <f t="shared" si="1"/>
        <v>2.6388888888888795E-2</v>
      </c>
      <c r="AC6" s="2">
        <f t="shared" si="1"/>
        <v>2.9166666666666674E-2</v>
      </c>
      <c r="AD6" s="2">
        <f t="shared" si="1"/>
        <v>3.125E-2</v>
      </c>
      <c r="AE6" s="2">
        <f t="shared" si="1"/>
        <v>3.5416666666666652E-2</v>
      </c>
      <c r="AF6" s="2">
        <f t="shared" si="1"/>
        <v>4.0277777777777857E-2</v>
      </c>
      <c r="AG6" s="2"/>
      <c r="AH6" s="2">
        <v>1.6666666666666607E-2</v>
      </c>
      <c r="AI6" s="2">
        <v>2.6388888888888795E-2</v>
      </c>
      <c r="AJ6" s="2">
        <v>2.9166666666666674E-2</v>
      </c>
      <c r="AK6" s="2">
        <v>3.125E-2</v>
      </c>
      <c r="AL6" s="2">
        <v>3.5416666666666652E-2</v>
      </c>
      <c r="AM6" s="2">
        <v>4.0277777777777857E-2</v>
      </c>
      <c r="AN6" s="2">
        <v>4.9999999999999933E-2</v>
      </c>
      <c r="AO6" s="2">
        <v>6.3194444444444553E-2</v>
      </c>
      <c r="AP6" s="2">
        <v>0.47986111111111113</v>
      </c>
    </row>
    <row r="7" spans="1:47" ht="16.5" customHeight="1" x14ac:dyDescent="0.25">
      <c r="B7" s="2"/>
      <c r="C7" s="2">
        <f>AVERAGE(C6:E6)</f>
        <v>5.092592592592593E-2</v>
      </c>
      <c r="D7" s="2">
        <f t="shared" ref="D7:AF7" si="2">AVERAGE(D6:F6)</f>
        <v>0.19768518518518521</v>
      </c>
      <c r="E7" s="2">
        <f t="shared" si="2"/>
        <v>0.19652777777777777</v>
      </c>
      <c r="F7" s="2">
        <f t="shared" si="2"/>
        <v>0.18819444444444441</v>
      </c>
      <c r="G7" s="2">
        <f t="shared" si="2"/>
        <v>3.9351851851851839E-2</v>
      </c>
      <c r="H7" s="2">
        <f t="shared" si="2"/>
        <v>3.4259259259259267E-2</v>
      </c>
      <c r="I7" s="2">
        <f t="shared" si="2"/>
        <v>3.1481481481481478E-2</v>
      </c>
      <c r="J7" s="2">
        <f t="shared" si="2"/>
        <v>3.0092592592592598E-2</v>
      </c>
      <c r="K7" s="2">
        <f t="shared" si="2"/>
        <v>2.9166666666666674E-2</v>
      </c>
      <c r="L7" s="2">
        <f t="shared" si="2"/>
        <v>2.8935185185185158E-2</v>
      </c>
      <c r="M7" s="2">
        <f t="shared" si="2"/>
        <v>2.9166666666666674E-2</v>
      </c>
      <c r="N7" s="2">
        <f t="shared" si="2"/>
        <v>3.055555555555552E-2</v>
      </c>
      <c r="O7" s="2">
        <f t="shared" si="2"/>
        <v>3.4027777777777844E-2</v>
      </c>
      <c r="P7" s="2">
        <f t="shared" si="2"/>
        <v>4.2129629629629593E-2</v>
      </c>
      <c r="Q7" s="2">
        <f t="shared" si="2"/>
        <v>5.0000000000000044E-2</v>
      </c>
      <c r="R7" s="2">
        <f t="shared" si="2"/>
        <v>0.19745370370370371</v>
      </c>
      <c r="S7" s="2">
        <f t="shared" si="2"/>
        <v>0.19236111111111118</v>
      </c>
      <c r="T7" s="2">
        <f t="shared" si="2"/>
        <v>0.18449074074074071</v>
      </c>
      <c r="U7" s="2">
        <f t="shared" si="2"/>
        <v>3.356481481481479E-2</v>
      </c>
      <c r="V7" s="2">
        <f t="shared" si="2"/>
        <v>2.9398148148148173E-2</v>
      </c>
      <c r="W7" s="2">
        <f t="shared" si="2"/>
        <v>2.6851851851851849E-2</v>
      </c>
      <c r="X7" s="2">
        <f t="shared" si="2"/>
        <v>2.5231481481481504E-2</v>
      </c>
      <c r="Y7" s="2">
        <f t="shared" si="2"/>
        <v>2.19907407407407E-2</v>
      </c>
      <c r="Z7" s="2">
        <f t="shared" si="2"/>
        <v>2.245370370370366E-2</v>
      </c>
      <c r="AA7" s="2">
        <f t="shared" si="2"/>
        <v>2.4074074074074026E-2</v>
      </c>
      <c r="AB7" s="2">
        <f t="shared" si="2"/>
        <v>2.8935185185185158E-2</v>
      </c>
      <c r="AC7" s="2">
        <f t="shared" si="2"/>
        <v>3.1944444444444442E-2</v>
      </c>
      <c r="AD7" s="2">
        <f t="shared" si="2"/>
        <v>3.5648148148148172E-2</v>
      </c>
      <c r="AE7" s="2">
        <f t="shared" si="2"/>
        <v>3.7847222222222254E-2</v>
      </c>
      <c r="AF7" s="2">
        <f t="shared" si="2"/>
        <v>2.8472222222222232E-2</v>
      </c>
      <c r="AG7" s="1"/>
      <c r="AH7" s="1"/>
      <c r="AI7" s="2">
        <f>AI6-AH6</f>
        <v>9.7222222222221877E-3</v>
      </c>
      <c r="AJ7" s="2">
        <f t="shared" ref="AJ7:AP7" si="3">AJ6-AI6</f>
        <v>2.7777777777778789E-3</v>
      </c>
      <c r="AK7" s="2">
        <f t="shared" si="3"/>
        <v>2.0833333333333259E-3</v>
      </c>
      <c r="AL7" s="2">
        <f t="shared" si="3"/>
        <v>4.1666666666666519E-3</v>
      </c>
      <c r="AM7" s="2">
        <f t="shared" si="3"/>
        <v>4.8611111111112049E-3</v>
      </c>
      <c r="AN7" s="2">
        <f t="shared" si="3"/>
        <v>9.7222222222220767E-3</v>
      </c>
      <c r="AO7" s="2">
        <f t="shared" si="3"/>
        <v>1.319444444444462E-2</v>
      </c>
      <c r="AP7" s="2">
        <f t="shared" si="3"/>
        <v>0.41666666666666657</v>
      </c>
    </row>
    <row r="8" spans="1:47" x14ac:dyDescent="0.25">
      <c r="A8" t="s">
        <v>2</v>
      </c>
      <c r="B8" s="2">
        <v>0.23055555555555554</v>
      </c>
      <c r="C8" s="2">
        <v>0.26597222222222222</v>
      </c>
      <c r="D8" s="2"/>
      <c r="I8" s="2">
        <v>2.7777777777777776E-2</v>
      </c>
      <c r="J8" s="2">
        <v>5.9722222222222225E-2</v>
      </c>
      <c r="K8" s="2">
        <v>9.0277777777777776E-2</v>
      </c>
      <c r="L8" s="2">
        <v>0.11944444444444445</v>
      </c>
      <c r="M8" s="2">
        <v>0.14722222222222223</v>
      </c>
      <c r="N8" s="2">
        <v>0.17500000000000002</v>
      </c>
      <c r="O8" s="2">
        <v>0.20208333333333331</v>
      </c>
      <c r="P8" s="2">
        <v>0.24513888888888888</v>
      </c>
      <c r="W8" s="2">
        <v>4.8611111111111112E-3</v>
      </c>
      <c r="X8" s="2">
        <v>3.1944444444444449E-2</v>
      </c>
      <c r="Y8" s="2">
        <v>5.6250000000000001E-2</v>
      </c>
      <c r="Z8" s="2">
        <v>8.1250000000000003E-2</v>
      </c>
      <c r="AA8" s="2">
        <v>0.10555555555555556</v>
      </c>
      <c r="AB8" s="2">
        <v>8.8888888888888892E-2</v>
      </c>
      <c r="AC8" s="2">
        <v>0.11597222222222221</v>
      </c>
      <c r="AD8" s="2">
        <v>0.14444444444444446</v>
      </c>
      <c r="AE8" s="2">
        <v>0.1763888888888889</v>
      </c>
      <c r="AF8" s="2">
        <v>0.21111111111111111</v>
      </c>
      <c r="AJ8">
        <v>4.8</v>
      </c>
      <c r="AK8">
        <f>2*AJ8</f>
        <v>9.6</v>
      </c>
      <c r="AL8">
        <f>3*AJ8</f>
        <v>14.399999999999999</v>
      </c>
      <c r="AM8">
        <f>4*AJ8</f>
        <v>19.2</v>
      </c>
      <c r="AN8">
        <f>5*AJ8</f>
        <v>24</v>
      </c>
      <c r="AO8">
        <f>6*AJ8</f>
        <v>28.799999999999997</v>
      </c>
      <c r="AP8">
        <f>6*AJ8</f>
        <v>28.799999999999997</v>
      </c>
      <c r="AQ8">
        <f>5*AJ8</f>
        <v>24</v>
      </c>
      <c r="AR8">
        <f>4*AJ8</f>
        <v>19.2</v>
      </c>
      <c r="AS8">
        <f>3*AJ8</f>
        <v>14.399999999999999</v>
      </c>
      <c r="AT8">
        <f>2*AJ8</f>
        <v>9.6</v>
      </c>
      <c r="AU8">
        <f>1*AJ8</f>
        <v>4.8</v>
      </c>
    </row>
    <row r="9" spans="1:47" x14ac:dyDescent="0.25">
      <c r="A9" t="s">
        <v>3</v>
      </c>
      <c r="B9">
        <v>4.7</v>
      </c>
      <c r="C9">
        <v>4.5</v>
      </c>
      <c r="I9">
        <v>5.4</v>
      </c>
      <c r="J9">
        <v>5.6</v>
      </c>
      <c r="K9">
        <v>5.6</v>
      </c>
      <c r="L9">
        <v>5.5</v>
      </c>
      <c r="M9">
        <v>5.3</v>
      </c>
      <c r="N9">
        <v>5</v>
      </c>
      <c r="O9">
        <v>4.7</v>
      </c>
      <c r="P9">
        <v>4.4000000000000004</v>
      </c>
      <c r="W9">
        <v>4.7</v>
      </c>
      <c r="X9">
        <v>5</v>
      </c>
      <c r="Y9">
        <v>5.0999999999999996</v>
      </c>
      <c r="Z9">
        <v>5.2</v>
      </c>
      <c r="AA9">
        <v>5.2</v>
      </c>
      <c r="AB9">
        <v>5.2</v>
      </c>
      <c r="AC9">
        <v>5.0999999999999996</v>
      </c>
      <c r="AD9">
        <v>5</v>
      </c>
      <c r="AE9">
        <v>4.7</v>
      </c>
      <c r="AF9">
        <v>4.5</v>
      </c>
      <c r="AI9" s="2">
        <f>(TIME(0,38,0)+TIME(0,AI8,0))</f>
        <v>2.6388888888888889E-2</v>
      </c>
      <c r="AJ9" s="2">
        <f t="shared" ref="AJ9:AO9" si="4">(TIME(0,38,0)+TIME(0,AJ8,0))</f>
        <v>2.9166666666666667E-2</v>
      </c>
      <c r="AK9" s="2">
        <f t="shared" si="4"/>
        <v>3.2638888888888891E-2</v>
      </c>
      <c r="AL9" s="2">
        <f t="shared" si="4"/>
        <v>3.6111111111111108E-2</v>
      </c>
      <c r="AM9" s="2">
        <f t="shared" si="4"/>
        <v>3.9583333333333331E-2</v>
      </c>
      <c r="AN9" s="2">
        <f t="shared" si="4"/>
        <v>4.3055555555555555E-2</v>
      </c>
      <c r="AO9" s="2">
        <f t="shared" si="4"/>
        <v>4.5833333333333337E-2</v>
      </c>
      <c r="AP9" s="2">
        <f t="shared" ref="AP9" si="5">(TIME(0,38,0)+TIME(0,AP8,0))</f>
        <v>4.5833333333333337E-2</v>
      </c>
      <c r="AQ9" s="2">
        <f t="shared" ref="AQ9" si="6">(TIME(0,38,0)+TIME(0,AQ8,0))</f>
        <v>4.3055555555555555E-2</v>
      </c>
      <c r="AR9" s="2">
        <f t="shared" ref="AR9" si="7">(TIME(0,38,0)+TIME(0,AR8,0))</f>
        <v>3.9583333333333331E-2</v>
      </c>
      <c r="AS9" s="2">
        <f t="shared" ref="AS9" si="8">(TIME(0,38,0)+TIME(0,AS8,0))</f>
        <v>3.6111111111111108E-2</v>
      </c>
      <c r="AT9" s="2">
        <f t="shared" ref="AT9" si="9">(TIME(0,38,0)+TIME(0,AT8,0))</f>
        <v>3.2638888888888891E-2</v>
      </c>
      <c r="AU9" s="2">
        <f t="shared" ref="AU9" si="10">(TIME(0,38,0)+TIME(0,AU8,0))</f>
        <v>2.9166666666666667E-2</v>
      </c>
    </row>
    <row r="10" spans="1:47" x14ac:dyDescent="0.25">
      <c r="A10" t="s">
        <v>4</v>
      </c>
      <c r="B10" s="2">
        <v>0.4777777777777778</v>
      </c>
      <c r="C10" s="2">
        <v>0.51527777777777783</v>
      </c>
      <c r="D10" s="2">
        <v>4.0972222222222222E-2</v>
      </c>
      <c r="E10" s="2">
        <v>9.9999999999999992E-2</v>
      </c>
      <c r="F10" s="2">
        <v>0.17361111111111113</v>
      </c>
      <c r="G10" s="2">
        <v>0.22152777777777777</v>
      </c>
      <c r="H10" s="2">
        <v>0.25833333333333336</v>
      </c>
      <c r="I10" s="2">
        <v>0.29097222222222224</v>
      </c>
      <c r="J10" s="2">
        <v>0.3215277777777778</v>
      </c>
      <c r="K10" s="2">
        <v>0.35138888888888892</v>
      </c>
      <c r="L10" s="2">
        <v>0.37986111111111115</v>
      </c>
      <c r="M10" s="2">
        <v>0.4069444444444445</v>
      </c>
      <c r="N10" s="2">
        <v>0.43472222222222223</v>
      </c>
      <c r="O10" s="2">
        <v>0.46249999999999997</v>
      </c>
      <c r="P10" s="2">
        <v>0.49305555555555558</v>
      </c>
      <c r="Q10" s="2">
        <v>4.8611111111111112E-3</v>
      </c>
      <c r="R10" s="2">
        <v>4.2361111111111106E-2</v>
      </c>
      <c r="S10" s="2">
        <v>8.819444444444445E-2</v>
      </c>
      <c r="T10" s="2">
        <v>0.14097222222222222</v>
      </c>
      <c r="U10" s="2">
        <v>0.18819444444444444</v>
      </c>
      <c r="V10" s="2">
        <v>0.22500000000000001</v>
      </c>
      <c r="W10" s="2">
        <v>0.25555555555555559</v>
      </c>
      <c r="X10" s="2">
        <v>0.28263888888888888</v>
      </c>
      <c r="Y10" s="2">
        <v>0.30902777777777779</v>
      </c>
      <c r="Z10" s="2">
        <v>0.33402777777777781</v>
      </c>
      <c r="AA10" s="2">
        <v>0.31666666666666665</v>
      </c>
      <c r="AB10" s="2">
        <v>0.34166666666666662</v>
      </c>
      <c r="AC10" s="2">
        <v>0.36805555555555558</v>
      </c>
      <c r="AD10" s="2">
        <v>0.3972222222222222</v>
      </c>
      <c r="AE10" s="2">
        <v>0.43055555555555558</v>
      </c>
      <c r="AF10" s="2">
        <v>0.47083333333333338</v>
      </c>
      <c r="AK10" t="s">
        <v>27</v>
      </c>
    </row>
    <row r="11" spans="1:47" x14ac:dyDescent="0.25">
      <c r="A11" t="s">
        <v>3</v>
      </c>
      <c r="B11">
        <v>0.7</v>
      </c>
      <c r="C11">
        <v>0.9</v>
      </c>
      <c r="D11">
        <v>1.1000000000000001</v>
      </c>
      <c r="E11">
        <v>1.2</v>
      </c>
      <c r="F11">
        <v>1</v>
      </c>
      <c r="G11">
        <v>0.7</v>
      </c>
      <c r="H11">
        <v>0.3</v>
      </c>
      <c r="I11">
        <v>0</v>
      </c>
      <c r="J11">
        <v>-0.1</v>
      </c>
      <c r="K11">
        <v>-0.2</v>
      </c>
      <c r="L11">
        <v>-0.1</v>
      </c>
      <c r="M11">
        <v>0</v>
      </c>
      <c r="N11">
        <v>0.2</v>
      </c>
      <c r="O11">
        <v>0.4</v>
      </c>
      <c r="P11">
        <v>0.7</v>
      </c>
      <c r="Q11">
        <v>1</v>
      </c>
      <c r="R11">
        <v>1.2</v>
      </c>
      <c r="S11">
        <v>1.4</v>
      </c>
      <c r="T11">
        <v>1.3</v>
      </c>
      <c r="U11">
        <v>1.1000000000000001</v>
      </c>
      <c r="V11">
        <v>0.9</v>
      </c>
      <c r="W11">
        <v>0.7</v>
      </c>
      <c r="X11">
        <v>0.5</v>
      </c>
      <c r="Y11">
        <v>0.4</v>
      </c>
      <c r="Z11">
        <v>0.4</v>
      </c>
      <c r="AA11">
        <v>0.4</v>
      </c>
      <c r="AB11">
        <v>0.4</v>
      </c>
      <c r="AC11">
        <v>0.5</v>
      </c>
      <c r="AD11">
        <v>0.6</v>
      </c>
      <c r="AE11">
        <v>0.7</v>
      </c>
      <c r="AF11">
        <v>0.8</v>
      </c>
    </row>
    <row r="12" spans="1:47" x14ac:dyDescent="0.25">
      <c r="A12" t="s">
        <v>2</v>
      </c>
      <c r="B12" s="2">
        <v>0.74722222222222223</v>
      </c>
      <c r="C12" s="2">
        <v>0.78680555555555554</v>
      </c>
      <c r="D12" s="2">
        <v>0.30624999999999997</v>
      </c>
      <c r="E12" s="2">
        <v>0.35902777777777778</v>
      </c>
      <c r="F12" s="2">
        <v>0.4201388888888889</v>
      </c>
      <c r="G12" s="2">
        <v>0.46666666666666662</v>
      </c>
      <c r="H12" s="2">
        <v>0.50486111111111109</v>
      </c>
      <c r="I12" s="2">
        <v>0.53819444444444442</v>
      </c>
      <c r="J12" s="2">
        <v>0.56944444444444442</v>
      </c>
      <c r="K12" s="2">
        <v>0.59930555555555554</v>
      </c>
      <c r="L12" s="2">
        <v>0.62847222222222221</v>
      </c>
      <c r="M12" s="2">
        <v>0.65694444444444444</v>
      </c>
      <c r="N12" s="2">
        <v>0.68611111111111101</v>
      </c>
      <c r="O12" s="2">
        <v>0.71597222222222223</v>
      </c>
      <c r="P12" s="2">
        <v>0.74861111111111101</v>
      </c>
      <c r="Q12" s="2">
        <v>0.26319444444444445</v>
      </c>
      <c r="R12" s="2">
        <v>0.30555555555555552</v>
      </c>
      <c r="S12" s="2">
        <v>0.36458333333333331</v>
      </c>
      <c r="T12" s="2">
        <v>0.41666666666666669</v>
      </c>
      <c r="U12" s="2">
        <v>0.45555555555555555</v>
      </c>
      <c r="V12" s="2">
        <v>0.48819444444444443</v>
      </c>
      <c r="W12" s="2">
        <v>0.51736111111111105</v>
      </c>
      <c r="X12" s="2">
        <v>0.54375000000000007</v>
      </c>
      <c r="Y12" s="2">
        <v>0.56874999999999998</v>
      </c>
      <c r="Z12" s="2">
        <v>0.59305555555555556</v>
      </c>
      <c r="AA12" s="2">
        <v>0.57638888888888895</v>
      </c>
      <c r="AB12" s="2">
        <v>0.60277777777777775</v>
      </c>
      <c r="AC12" s="2">
        <v>0.63194444444444442</v>
      </c>
      <c r="AD12" s="2">
        <v>0.66319444444444442</v>
      </c>
      <c r="AE12" s="2">
        <v>0.69861111111111107</v>
      </c>
      <c r="AF12" s="2">
        <v>0.73888888888888893</v>
      </c>
    </row>
    <row r="13" spans="1:47" x14ac:dyDescent="0.25">
      <c r="A13" t="s">
        <v>3</v>
      </c>
      <c r="B13">
        <v>4.5999999999999996</v>
      </c>
      <c r="C13">
        <v>4.4000000000000004</v>
      </c>
      <c r="D13">
        <v>4.2</v>
      </c>
      <c r="E13">
        <v>4.0999999999999996</v>
      </c>
      <c r="F13">
        <v>4.3</v>
      </c>
      <c r="G13">
        <v>4.7</v>
      </c>
      <c r="H13">
        <v>5.0999999999999996</v>
      </c>
      <c r="I13">
        <v>5.5</v>
      </c>
      <c r="J13">
        <v>5.7</v>
      </c>
      <c r="K13">
        <v>5.7</v>
      </c>
      <c r="L13">
        <v>5.6</v>
      </c>
      <c r="M13">
        <v>5.4</v>
      </c>
      <c r="N13">
        <v>5.0999999999999996</v>
      </c>
      <c r="O13">
        <v>4.7</v>
      </c>
      <c r="P13">
        <v>4.3</v>
      </c>
      <c r="Q13">
        <v>4.0999999999999996</v>
      </c>
      <c r="R13">
        <v>3.9</v>
      </c>
      <c r="S13">
        <v>3.9</v>
      </c>
      <c r="T13">
        <v>4</v>
      </c>
      <c r="U13">
        <v>4.3</v>
      </c>
      <c r="V13">
        <v>4.5999999999999996</v>
      </c>
      <c r="W13">
        <v>4.8</v>
      </c>
      <c r="X13">
        <v>5</v>
      </c>
      <c r="Y13">
        <v>5.0999999999999996</v>
      </c>
      <c r="Z13">
        <v>5.2</v>
      </c>
      <c r="AA13">
        <v>5.2</v>
      </c>
      <c r="AB13">
        <v>5.2</v>
      </c>
      <c r="AC13">
        <v>5.0999999999999996</v>
      </c>
      <c r="AD13">
        <v>4.8</v>
      </c>
      <c r="AE13">
        <v>4.7</v>
      </c>
      <c r="AF13">
        <v>4.5</v>
      </c>
    </row>
    <row r="14" spans="1:47" s="4" customFormat="1" x14ac:dyDescent="0.25">
      <c r="A14" s="4" t="s">
        <v>28</v>
      </c>
      <c r="B14" s="4">
        <f>B3*$AS$16</f>
        <v>576</v>
      </c>
      <c r="C14" s="4">
        <f t="shared" ref="C14:AF14" si="11">C3*$AS$16</f>
        <v>600</v>
      </c>
      <c r="D14" s="4">
        <f t="shared" si="11"/>
        <v>624</v>
      </c>
      <c r="E14" s="4">
        <f t="shared" si="11"/>
        <v>648</v>
      </c>
      <c r="F14" s="4">
        <f t="shared" si="11"/>
        <v>672</v>
      </c>
      <c r="G14" s="4">
        <f t="shared" si="11"/>
        <v>696</v>
      </c>
      <c r="H14" s="4">
        <f t="shared" si="11"/>
        <v>0</v>
      </c>
      <c r="I14" s="4">
        <f t="shared" si="11"/>
        <v>24</v>
      </c>
      <c r="J14" s="4">
        <f t="shared" si="11"/>
        <v>48</v>
      </c>
      <c r="K14" s="4">
        <f t="shared" si="11"/>
        <v>72</v>
      </c>
      <c r="L14" s="4">
        <f t="shared" si="11"/>
        <v>96</v>
      </c>
      <c r="M14" s="4">
        <f t="shared" si="11"/>
        <v>120</v>
      </c>
      <c r="N14" s="4">
        <f t="shared" si="11"/>
        <v>144</v>
      </c>
      <c r="O14" s="4">
        <f t="shared" si="11"/>
        <v>168</v>
      </c>
      <c r="P14" s="4">
        <f t="shared" si="11"/>
        <v>192</v>
      </c>
      <c r="Q14" s="4">
        <f t="shared" si="11"/>
        <v>216</v>
      </c>
      <c r="R14" s="4">
        <f t="shared" si="11"/>
        <v>240</v>
      </c>
      <c r="S14" s="4">
        <f t="shared" si="11"/>
        <v>264</v>
      </c>
      <c r="T14" s="4">
        <f t="shared" si="11"/>
        <v>288</v>
      </c>
      <c r="U14" s="4">
        <f t="shared" si="11"/>
        <v>312</v>
      </c>
      <c r="V14" s="4">
        <f t="shared" si="11"/>
        <v>336</v>
      </c>
      <c r="W14" s="4">
        <f t="shared" si="11"/>
        <v>360</v>
      </c>
      <c r="X14" s="4">
        <f t="shared" si="11"/>
        <v>384</v>
      </c>
      <c r="Y14" s="4">
        <f t="shared" si="11"/>
        <v>408</v>
      </c>
      <c r="Z14" s="4">
        <f t="shared" si="11"/>
        <v>432</v>
      </c>
      <c r="AA14" s="4">
        <f t="shared" si="11"/>
        <v>456</v>
      </c>
      <c r="AB14" s="4">
        <f t="shared" si="11"/>
        <v>480</v>
      </c>
      <c r="AC14" s="4">
        <f t="shared" si="11"/>
        <v>504</v>
      </c>
      <c r="AD14" s="4">
        <f t="shared" si="11"/>
        <v>528</v>
      </c>
      <c r="AE14" s="4">
        <f t="shared" si="11"/>
        <v>552</v>
      </c>
      <c r="AF14" s="4">
        <f t="shared" si="11"/>
        <v>576</v>
      </c>
    </row>
    <row r="15" spans="1:47" s="4" customFormat="1" x14ac:dyDescent="0.25">
      <c r="A15" s="4" t="s">
        <v>29</v>
      </c>
      <c r="B15" s="4">
        <f>B14*Sheet3!$C$5</f>
        <v>10.053096479999999</v>
      </c>
      <c r="C15" s="4">
        <f>C14*Sheet3!$C$5</f>
        <v>10.471975499999999</v>
      </c>
      <c r="D15" s="4">
        <f>D14*Sheet3!$C$5</f>
        <v>10.89085452</v>
      </c>
      <c r="E15" s="4">
        <f>E14*Sheet3!$C$5</f>
        <v>11.30973354</v>
      </c>
      <c r="F15" s="4">
        <f>F14*Sheet3!$C$5</f>
        <v>11.728612559999998</v>
      </c>
      <c r="G15" s="4">
        <f>G14*Sheet3!$C$5</f>
        <v>12.147491579999999</v>
      </c>
      <c r="H15" s="4">
        <f>H14*Sheet3!$C$5</f>
        <v>0</v>
      </c>
      <c r="I15" s="4">
        <f>I14*Sheet3!$C$5</f>
        <v>0.41887901999999999</v>
      </c>
      <c r="J15" s="4">
        <f>J14*Sheet3!$C$5</f>
        <v>0.83775803999999998</v>
      </c>
      <c r="K15" s="4">
        <f>K14*Sheet3!$C$5</f>
        <v>1.2566370599999999</v>
      </c>
      <c r="L15" s="4">
        <f>L14*Sheet3!$C$5</f>
        <v>1.67551608</v>
      </c>
      <c r="M15" s="4">
        <f>M14*Sheet3!$C$5</f>
        <v>2.0943950999999998</v>
      </c>
      <c r="N15" s="4">
        <f>N14*Sheet3!$C$5</f>
        <v>2.5132741199999997</v>
      </c>
      <c r="O15" s="4">
        <f>O14*Sheet3!$C$5</f>
        <v>2.9321531399999996</v>
      </c>
      <c r="P15" s="4">
        <f>P14*Sheet3!$C$5</f>
        <v>3.3510321599999999</v>
      </c>
      <c r="Q15" s="4">
        <f>Q14*Sheet3!$C$5</f>
        <v>3.7699111799999998</v>
      </c>
      <c r="R15" s="4">
        <f>R14*Sheet3!$C$5</f>
        <v>4.1887901999999997</v>
      </c>
      <c r="S15" s="4">
        <f>S14*Sheet3!$C$5</f>
        <v>4.60766922</v>
      </c>
      <c r="T15" s="4">
        <f>T14*Sheet3!$C$5</f>
        <v>5.0265482399999994</v>
      </c>
      <c r="U15" s="4">
        <f>U14*Sheet3!$C$5</f>
        <v>5.4454272599999998</v>
      </c>
      <c r="V15" s="4">
        <f>V14*Sheet3!$C$5</f>
        <v>5.8643062799999992</v>
      </c>
      <c r="W15" s="4">
        <f>W14*Sheet3!$C$5</f>
        <v>6.2831852999999995</v>
      </c>
      <c r="X15" s="4">
        <f>X14*Sheet3!$C$5</f>
        <v>6.7020643199999999</v>
      </c>
      <c r="Y15" s="4">
        <f>Y14*Sheet3!$C$5</f>
        <v>7.1209433399999993</v>
      </c>
      <c r="Z15" s="4">
        <f>Z14*Sheet3!$C$5</f>
        <v>7.5398223599999996</v>
      </c>
      <c r="AA15" s="4">
        <f>AA14*Sheet3!$C$5</f>
        <v>7.958701379999999</v>
      </c>
      <c r="AB15" s="4">
        <f>AB14*Sheet3!$C$5</f>
        <v>8.3775803999999994</v>
      </c>
      <c r="AC15" s="4">
        <f>AC14*Sheet3!$C$5</f>
        <v>8.7964594199999997</v>
      </c>
      <c r="AD15" s="4">
        <f>AD14*Sheet3!$C$5</f>
        <v>9.21533844</v>
      </c>
      <c r="AE15" s="4">
        <f>AE14*Sheet3!$C$5</f>
        <v>9.6342174599999986</v>
      </c>
      <c r="AF15" s="4">
        <f>AF14*Sheet3!$C$5</f>
        <v>10.053096479999999</v>
      </c>
    </row>
    <row r="16" spans="1:47" s="4" customFormat="1" x14ac:dyDescent="0.25">
      <c r="A16" s="4" t="s">
        <v>30</v>
      </c>
      <c r="B16" s="4">
        <f>SIN(B15)</f>
        <v>-0.58778524299902024</v>
      </c>
      <c r="C16" s="4">
        <f t="shared" ref="C16:AF16" si="12">SIN(C15)</f>
        <v>-0.86602539780144949</v>
      </c>
      <c r="D16" s="4">
        <f t="shared" si="12"/>
        <v>-0.99452189406745661</v>
      </c>
      <c r="E16" s="4">
        <f t="shared" si="12"/>
        <v>-0.95105652028865917</v>
      </c>
      <c r="F16" s="4">
        <f t="shared" si="12"/>
        <v>-0.74314483444501322</v>
      </c>
      <c r="G16" s="4">
        <f t="shared" si="12"/>
        <v>-0.40673665575629997</v>
      </c>
      <c r="H16" s="4">
        <f t="shared" si="12"/>
        <v>0</v>
      </c>
      <c r="I16" s="4">
        <f t="shared" si="12"/>
        <v>0.40673664263854165</v>
      </c>
      <c r="J16" s="4">
        <f t="shared" si="12"/>
        <v>0.74314482483685007</v>
      </c>
      <c r="K16" s="4">
        <f t="shared" si="12"/>
        <v>0.95105651585143069</v>
      </c>
      <c r="L16" s="4">
        <f t="shared" si="12"/>
        <v>0.99452189556839898</v>
      </c>
      <c r="M16" s="4">
        <f t="shared" si="12"/>
        <v>0.86602540498103642</v>
      </c>
      <c r="N16" s="4">
        <f t="shared" si="12"/>
        <v>0.58778525461583631</v>
      </c>
      <c r="O16" s="4">
        <f t="shared" si="12"/>
        <v>0.20791169409501753</v>
      </c>
      <c r="P16" s="4">
        <f t="shared" si="12"/>
        <v>-0.20791168707232177</v>
      </c>
      <c r="Q16" s="4">
        <f t="shared" si="12"/>
        <v>-0.58778524880742844</v>
      </c>
      <c r="R16" s="4">
        <f t="shared" si="12"/>
        <v>-0.86602540139124295</v>
      </c>
      <c r="S16" s="4">
        <f t="shared" si="12"/>
        <v>-0.99452189481792785</v>
      </c>
      <c r="T16" s="4">
        <f t="shared" si="12"/>
        <v>-0.9510565180700451</v>
      </c>
      <c r="U16" s="4">
        <f t="shared" si="12"/>
        <v>-0.74314482964093131</v>
      </c>
      <c r="V16" s="4">
        <f t="shared" si="12"/>
        <v>-0.40673664919742097</v>
      </c>
      <c r="W16" s="4">
        <f t="shared" si="12"/>
        <v>-7.1795869479619745E-9</v>
      </c>
      <c r="X16" s="4">
        <f t="shared" si="12"/>
        <v>0.40673663607966287</v>
      </c>
      <c r="Y16" s="4">
        <f t="shared" si="12"/>
        <v>0.74314482003276849</v>
      </c>
      <c r="Z16" s="4">
        <f t="shared" si="12"/>
        <v>0.95105651363281629</v>
      </c>
      <c r="AA16" s="4">
        <f t="shared" si="12"/>
        <v>0.99452189631887022</v>
      </c>
      <c r="AB16" s="4">
        <f t="shared" si="12"/>
        <v>0.86602540857082988</v>
      </c>
      <c r="AC16" s="4">
        <f t="shared" si="12"/>
        <v>0.58778526042424384</v>
      </c>
      <c r="AD16" s="4">
        <f t="shared" si="12"/>
        <v>0.2079117011177124</v>
      </c>
      <c r="AE16" s="4">
        <f t="shared" si="12"/>
        <v>-0.20791168004962515</v>
      </c>
      <c r="AF16" s="4">
        <f t="shared" si="12"/>
        <v>-0.58778524299902024</v>
      </c>
      <c r="AS16" s="4">
        <f>720/30</f>
        <v>24</v>
      </c>
    </row>
    <row r="17" spans="1:32" hidden="1" x14ac:dyDescent="0.25">
      <c r="A17" t="s">
        <v>4</v>
      </c>
      <c r="B17" s="2">
        <v>0.99930555555555556</v>
      </c>
      <c r="D17" s="2">
        <v>0.56319444444444444</v>
      </c>
      <c r="E17" s="2">
        <v>0.64097222222222217</v>
      </c>
      <c r="F17" s="2">
        <v>0.70416666666666661</v>
      </c>
      <c r="G17" s="2">
        <v>0.74444444444444446</v>
      </c>
      <c r="H17" s="2">
        <v>0.77916666666666667</v>
      </c>
      <c r="I17" s="2">
        <v>0.81041666666666667</v>
      </c>
      <c r="J17" s="2">
        <v>0.84027777777777779</v>
      </c>
      <c r="K17" s="2">
        <v>0.86875000000000002</v>
      </c>
      <c r="L17" s="2">
        <v>0.89513888888888893</v>
      </c>
      <c r="M17" s="2">
        <v>0.92152777777777783</v>
      </c>
      <c r="N17" s="2">
        <v>0.94652777777777775</v>
      </c>
      <c r="O17" s="2">
        <v>0.97430555555555554</v>
      </c>
      <c r="Q17" s="2">
        <v>0.52847222222222223</v>
      </c>
      <c r="R17" s="2">
        <v>0.5708333333333333</v>
      </c>
      <c r="S17" s="2">
        <v>0.62152777777777779</v>
      </c>
      <c r="T17" s="2">
        <v>0.67083333333333339</v>
      </c>
      <c r="U17" s="2">
        <v>0.70972222222222225</v>
      </c>
      <c r="V17" s="2">
        <v>0.74236111111111114</v>
      </c>
      <c r="W17" s="2">
        <v>0.77083333333333337</v>
      </c>
      <c r="X17" s="2">
        <v>0.79722222222222217</v>
      </c>
      <c r="Y17" s="2">
        <v>0.82291666666666663</v>
      </c>
      <c r="Z17" s="2">
        <v>0.84791666666666676</v>
      </c>
      <c r="AA17" s="2">
        <v>0.8305555555555556</v>
      </c>
      <c r="AB17" s="2">
        <v>0.85555555555555562</v>
      </c>
      <c r="AC17" s="2">
        <v>0.88263888888888886</v>
      </c>
      <c r="AD17" s="2">
        <v>0.91319444444444453</v>
      </c>
      <c r="AE17" s="2">
        <v>0.94930555555555562</v>
      </c>
      <c r="AF17" s="2">
        <v>0.99236111111111114</v>
      </c>
    </row>
    <row r="18" spans="1:32" hidden="1" x14ac:dyDescent="0.25">
      <c r="A18" t="s">
        <v>3</v>
      </c>
      <c r="B18">
        <v>0.9</v>
      </c>
      <c r="D18">
        <v>1</v>
      </c>
      <c r="E18">
        <v>1</v>
      </c>
      <c r="F18">
        <v>0.6</v>
      </c>
      <c r="G18">
        <v>0.2</v>
      </c>
      <c r="H18">
        <v>-0.1</v>
      </c>
      <c r="I18">
        <v>-0.3</v>
      </c>
      <c r="J18">
        <v>-0.4</v>
      </c>
      <c r="K18">
        <v>-0.3</v>
      </c>
      <c r="L18">
        <v>-0.1</v>
      </c>
      <c r="M18">
        <v>0.2</v>
      </c>
      <c r="N18">
        <v>0.5</v>
      </c>
      <c r="O18">
        <v>0.8</v>
      </c>
      <c r="Q18">
        <v>0.9</v>
      </c>
      <c r="R18">
        <v>1</v>
      </c>
      <c r="S18">
        <v>1</v>
      </c>
      <c r="T18">
        <v>0.9</v>
      </c>
      <c r="U18">
        <v>0.7</v>
      </c>
      <c r="V18">
        <v>0.5</v>
      </c>
      <c r="W18">
        <v>0.3</v>
      </c>
      <c r="X18">
        <v>0.3</v>
      </c>
      <c r="Y18">
        <v>0.2</v>
      </c>
      <c r="Z18">
        <v>0.3</v>
      </c>
      <c r="AA18">
        <v>0.4</v>
      </c>
      <c r="AB18">
        <v>0.5</v>
      </c>
      <c r="AC18">
        <v>0.6</v>
      </c>
      <c r="AD18">
        <v>0.8</v>
      </c>
      <c r="AE18">
        <v>1</v>
      </c>
      <c r="AF18">
        <v>1.1000000000000001</v>
      </c>
    </row>
    <row r="19" spans="1:32" hidden="1" x14ac:dyDescent="0.25">
      <c r="A19" t="s">
        <v>12</v>
      </c>
      <c r="D19" s="2">
        <v>0.83680555555555547</v>
      </c>
      <c r="E19" s="2">
        <v>0.9</v>
      </c>
      <c r="F19" s="2">
        <v>0.95277777777777783</v>
      </c>
      <c r="G19" s="2">
        <v>0.99305555555555547</v>
      </c>
      <c r="Q19" s="2">
        <v>0.78819444444444453</v>
      </c>
      <c r="R19" s="2">
        <v>0.84236111111111101</v>
      </c>
      <c r="S19" s="2">
        <v>0.89861111111111114</v>
      </c>
      <c r="T19" s="2">
        <v>0.94097222222222221</v>
      </c>
      <c r="U19" s="2">
        <v>0.97499999999999998</v>
      </c>
    </row>
    <row r="20" spans="1:32" hidden="1" x14ac:dyDescent="0.25">
      <c r="A20" t="s">
        <v>3</v>
      </c>
      <c r="D20">
        <v>4.2</v>
      </c>
      <c r="E20">
        <v>4.3</v>
      </c>
      <c r="F20">
        <v>4.5999999999999996</v>
      </c>
      <c r="G20">
        <v>5</v>
      </c>
      <c r="Q20">
        <v>4</v>
      </c>
      <c r="R20">
        <v>3.8</v>
      </c>
      <c r="S20">
        <v>3.9</v>
      </c>
      <c r="T20">
        <v>4.2</v>
      </c>
      <c r="U20">
        <v>4.5</v>
      </c>
    </row>
    <row r="21" spans="1:32" hidden="1" x14ac:dyDescent="0.25">
      <c r="A21" t="s">
        <v>5</v>
      </c>
      <c r="B21" s="2">
        <v>0.29305555555555557</v>
      </c>
      <c r="C21" s="2">
        <v>0.29375000000000001</v>
      </c>
      <c r="D21" s="2">
        <v>0.2951388888888889</v>
      </c>
      <c r="E21" s="2">
        <v>0.29583333333333334</v>
      </c>
      <c r="F21" s="2">
        <v>0.29722222222222222</v>
      </c>
      <c r="G21" s="2">
        <v>0.2986111111111111</v>
      </c>
      <c r="H21" s="2">
        <v>0.3</v>
      </c>
      <c r="I21" s="2">
        <v>0.30069444444444443</v>
      </c>
      <c r="J21" s="2">
        <v>0.30208333333333331</v>
      </c>
      <c r="K21" s="2">
        <v>0.3034722222222222</v>
      </c>
      <c r="L21" s="2">
        <v>0.30416666666666664</v>
      </c>
      <c r="M21" s="2">
        <v>0.30555555555555552</v>
      </c>
      <c r="N21" s="2">
        <v>0.30694444444444441</v>
      </c>
      <c r="O21" s="2">
        <v>0.30763888888888891</v>
      </c>
      <c r="P21" s="2">
        <v>0.30902777777777779</v>
      </c>
      <c r="Q21" s="2">
        <v>0.31041666666666667</v>
      </c>
      <c r="R21" s="2">
        <v>0.31180555555555556</v>
      </c>
      <c r="S21" s="2">
        <v>0.3125</v>
      </c>
      <c r="T21" s="2">
        <v>0.31388888888888888</v>
      </c>
      <c r="U21" s="2">
        <v>0.31527777777777777</v>
      </c>
      <c r="V21" s="2">
        <v>0.31597222222222221</v>
      </c>
      <c r="W21" s="2">
        <v>0.31736111111111115</v>
      </c>
      <c r="X21" s="2">
        <v>0.31875000000000003</v>
      </c>
      <c r="Y21" s="2">
        <v>0.32013888888888892</v>
      </c>
      <c r="Z21" s="2">
        <v>0.3215277777777778</v>
      </c>
      <c r="AA21" s="2">
        <v>0.28055555555555556</v>
      </c>
      <c r="AB21" s="2">
        <v>0.28194444444444444</v>
      </c>
      <c r="AC21" s="2">
        <v>0.28333333333333333</v>
      </c>
      <c r="AD21" s="2">
        <v>0.28472222222222221</v>
      </c>
      <c r="AE21" s="2">
        <v>0.28611111111111115</v>
      </c>
      <c r="AF21" s="2">
        <v>0.28680555555555554</v>
      </c>
    </row>
    <row r="22" spans="1:32" hidden="1" x14ac:dyDescent="0.25">
      <c r="A22" t="s">
        <v>6</v>
      </c>
      <c r="B22" s="2">
        <v>0.77083333333333337</v>
      </c>
      <c r="C22" s="2">
        <v>0.76944444444444438</v>
      </c>
      <c r="D22" s="2">
        <v>0.7680555555555556</v>
      </c>
      <c r="E22" s="2">
        <v>0.76597222222222217</v>
      </c>
      <c r="F22" s="2">
        <v>0.76458333333333339</v>
      </c>
      <c r="G22" s="2">
        <v>0.7631944444444444</v>
      </c>
      <c r="H22" s="2">
        <v>0.76180555555555562</v>
      </c>
      <c r="I22" s="2">
        <v>0.7597222222222223</v>
      </c>
      <c r="J22" s="2">
        <v>0.7583333333333333</v>
      </c>
      <c r="K22" s="2">
        <v>0.75694444444444453</v>
      </c>
      <c r="L22" s="2">
        <v>0.75555555555555554</v>
      </c>
      <c r="M22" s="2">
        <v>0.75347222222222221</v>
      </c>
      <c r="N22" s="2">
        <v>0.75208333333333333</v>
      </c>
      <c r="O22" s="2">
        <v>0.75069444444444444</v>
      </c>
      <c r="P22" s="2">
        <v>0.74930555555555556</v>
      </c>
      <c r="Q22" s="2">
        <v>0.74791666666666667</v>
      </c>
      <c r="R22" s="2">
        <v>0.74652777777777779</v>
      </c>
      <c r="S22" s="2">
        <v>0.74444444444444446</v>
      </c>
      <c r="T22" s="2">
        <v>0.74305555555555547</v>
      </c>
      <c r="U22" s="2">
        <v>0.7416666666666667</v>
      </c>
      <c r="V22" s="2">
        <v>0.7402777777777777</v>
      </c>
      <c r="W22" s="2">
        <v>0.73888888888888893</v>
      </c>
      <c r="X22" s="2">
        <v>0.73749999999999993</v>
      </c>
      <c r="Y22" s="2">
        <v>0.73611111111111116</v>
      </c>
      <c r="Z22" s="2">
        <v>0.73472222222222217</v>
      </c>
      <c r="AA22" s="2">
        <v>0.69166666666666676</v>
      </c>
      <c r="AB22" s="2">
        <v>0.69027777777777777</v>
      </c>
      <c r="AC22" s="2">
        <v>0.68888888888888899</v>
      </c>
      <c r="AD22" s="2">
        <v>0.6875</v>
      </c>
      <c r="AE22" s="2">
        <v>0.68611111111111101</v>
      </c>
      <c r="AF22" s="2">
        <v>0.68541666666666667</v>
      </c>
    </row>
    <row r="23" spans="1:32" hidden="1" x14ac:dyDescent="0.25">
      <c r="A23" t="s">
        <v>7</v>
      </c>
      <c r="B23" s="2">
        <v>0.55277777777777781</v>
      </c>
      <c r="C23" s="2">
        <v>0.5854166666666667</v>
      </c>
      <c r="D23" s="2">
        <v>0.61388888888888882</v>
      </c>
      <c r="E23" s="2">
        <v>0.63888888888888895</v>
      </c>
      <c r="F23" s="2">
        <v>0.66111111111111109</v>
      </c>
      <c r="G23" s="2">
        <v>0.68125000000000002</v>
      </c>
      <c r="H23" s="2">
        <v>0.70208333333333339</v>
      </c>
      <c r="I23" s="2">
        <v>0.72291666666666676</v>
      </c>
      <c r="J23" s="2">
        <v>0.74513888888888891</v>
      </c>
      <c r="K23" s="2">
        <v>0.76944444444444438</v>
      </c>
      <c r="L23" s="2">
        <v>0.79722222222222217</v>
      </c>
      <c r="M23" s="2">
        <v>0.82847222222222217</v>
      </c>
      <c r="N23" s="2">
        <v>0.86249999999999993</v>
      </c>
      <c r="O23" s="2">
        <v>0.90069444444444446</v>
      </c>
      <c r="P23" s="2">
        <v>0.94027777777777777</v>
      </c>
      <c r="Q23" s="2">
        <v>0.98263888888888884</v>
      </c>
      <c r="R23" s="2">
        <v>0</v>
      </c>
      <c r="S23" s="2">
        <v>2.4305555555555556E-2</v>
      </c>
      <c r="T23" s="2">
        <v>6.805555555555555E-2</v>
      </c>
      <c r="U23" s="2">
        <v>0.11180555555555556</v>
      </c>
      <c r="V23" s="2">
        <v>0.15625</v>
      </c>
      <c r="W23" s="2">
        <v>0.20069444444444443</v>
      </c>
      <c r="X23" s="2">
        <v>0.24722222222222223</v>
      </c>
      <c r="Y23" s="2">
        <v>0.29375000000000001</v>
      </c>
      <c r="Z23" s="2">
        <v>0.34027777777777773</v>
      </c>
      <c r="AA23" s="2">
        <v>0.38611111111111113</v>
      </c>
      <c r="AB23" s="2">
        <v>0.4284722222222222</v>
      </c>
      <c r="AC23" s="2">
        <v>0.4680555555555555</v>
      </c>
      <c r="AD23" s="2">
        <v>0.50138888888888888</v>
      </c>
      <c r="AE23" s="2">
        <v>0.53055555555555556</v>
      </c>
      <c r="AF23" s="2">
        <v>0.55625000000000002</v>
      </c>
    </row>
    <row r="24" spans="1:32" hidden="1" x14ac:dyDescent="0.25">
      <c r="A24" t="s">
        <v>8</v>
      </c>
      <c r="B24" s="2">
        <v>0.93055555555555547</v>
      </c>
      <c r="C24" s="2">
        <v>0.97777777777777775</v>
      </c>
      <c r="D24" s="2">
        <v>0</v>
      </c>
      <c r="E24" s="2">
        <v>2.9166666666666664E-2</v>
      </c>
      <c r="F24" s="2">
        <v>8.3333333333333329E-2</v>
      </c>
      <c r="G24" s="2">
        <v>0.1388888888888889</v>
      </c>
      <c r="H24" s="2">
        <v>0.19444444444444445</v>
      </c>
      <c r="I24" s="2">
        <v>0.25</v>
      </c>
      <c r="J24" s="2">
        <v>0.30416666666666664</v>
      </c>
      <c r="K24" s="2">
        <v>0.35625000000000001</v>
      </c>
      <c r="L24" s="2">
        <v>0.40486111111111112</v>
      </c>
      <c r="M24" s="2">
        <v>0.44861111111111113</v>
      </c>
      <c r="N24" s="2">
        <v>0.48749999999999999</v>
      </c>
      <c r="O24" s="2">
        <v>0.52013888888888882</v>
      </c>
      <c r="P24" s="2">
        <v>0.54861111111111105</v>
      </c>
      <c r="Q24" s="2">
        <v>0.57222222222222219</v>
      </c>
      <c r="R24" s="2">
        <v>0.59305555555555556</v>
      </c>
      <c r="S24" s="2">
        <v>0.61111111111111105</v>
      </c>
      <c r="T24" s="2">
        <v>0.62777777777777777</v>
      </c>
      <c r="U24" s="2">
        <v>0.64374999999999993</v>
      </c>
      <c r="V24" s="2">
        <v>0.65972222222222221</v>
      </c>
      <c r="W24" s="2">
        <v>0.67638888888888893</v>
      </c>
      <c r="X24" s="2">
        <v>0.69444444444444453</v>
      </c>
      <c r="Y24" s="2">
        <v>0.71527777777777779</v>
      </c>
      <c r="Z24" s="2">
        <v>0.73958333333333337</v>
      </c>
      <c r="AA24" s="2">
        <v>0.76874999999999993</v>
      </c>
      <c r="AB24" s="2">
        <v>0.8027777777777777</v>
      </c>
      <c r="AC24" s="2">
        <v>0.84305555555555556</v>
      </c>
      <c r="AD24" s="2">
        <v>0.8881944444444444</v>
      </c>
      <c r="AE24" s="2">
        <v>0.9375</v>
      </c>
      <c r="AF24" s="2">
        <v>0.98958333333333337</v>
      </c>
    </row>
    <row r="25" spans="1:32" hidden="1" x14ac:dyDescent="0.25">
      <c r="C25" s="2">
        <f>C23-C21</f>
        <v>0.29166666666666669</v>
      </c>
      <c r="D25" s="2">
        <f t="shared" ref="D25:AF25" si="13">D23-D21</f>
        <v>0.31874999999999992</v>
      </c>
      <c r="E25" s="2">
        <f t="shared" si="13"/>
        <v>0.34305555555555561</v>
      </c>
      <c r="F25" s="2">
        <f t="shared" si="13"/>
        <v>0.36388888888888887</v>
      </c>
      <c r="G25" s="2">
        <f t="shared" si="13"/>
        <v>0.38263888888888892</v>
      </c>
      <c r="H25" s="2">
        <f t="shared" si="13"/>
        <v>0.4020833333333334</v>
      </c>
      <c r="I25" s="2">
        <f t="shared" si="13"/>
        <v>0.42222222222222233</v>
      </c>
      <c r="J25" s="2">
        <f t="shared" si="13"/>
        <v>0.44305555555555559</v>
      </c>
      <c r="K25" s="2">
        <f t="shared" si="13"/>
        <v>0.46597222222222218</v>
      </c>
      <c r="L25" s="2">
        <f t="shared" si="13"/>
        <v>0.49305555555555552</v>
      </c>
      <c r="M25" s="2">
        <f t="shared" si="13"/>
        <v>0.5229166666666667</v>
      </c>
      <c r="N25" s="2">
        <f t="shared" si="13"/>
        <v>0.55555555555555558</v>
      </c>
      <c r="O25" s="2">
        <f t="shared" si="13"/>
        <v>0.59305555555555556</v>
      </c>
      <c r="P25" s="2">
        <f t="shared" si="13"/>
        <v>0.63124999999999998</v>
      </c>
      <c r="Q25" s="2">
        <f t="shared" si="13"/>
        <v>0.67222222222222217</v>
      </c>
      <c r="R25" s="2">
        <f t="shared" si="13"/>
        <v>-0.31180555555555556</v>
      </c>
      <c r="S25" s="2">
        <f t="shared" si="13"/>
        <v>-0.28819444444444442</v>
      </c>
      <c r="T25" s="2">
        <f t="shared" si="13"/>
        <v>-0.24583333333333335</v>
      </c>
      <c r="U25" s="2">
        <f t="shared" si="13"/>
        <v>-0.20347222222222222</v>
      </c>
      <c r="V25" s="2">
        <f t="shared" si="13"/>
        <v>-0.15972222222222221</v>
      </c>
      <c r="W25" s="2">
        <f t="shared" si="13"/>
        <v>-0.11666666666666672</v>
      </c>
      <c r="X25" s="2">
        <f t="shared" si="13"/>
        <v>-7.1527777777777801E-2</v>
      </c>
      <c r="Y25" s="2">
        <f t="shared" si="13"/>
        <v>-2.6388888888888906E-2</v>
      </c>
      <c r="Z25" s="2">
        <f t="shared" si="13"/>
        <v>1.8749999999999933E-2</v>
      </c>
      <c r="AA25" s="2">
        <f t="shared" si="13"/>
        <v>0.10555555555555557</v>
      </c>
      <c r="AB25" s="2">
        <f t="shared" si="13"/>
        <v>0.14652777777777776</v>
      </c>
      <c r="AC25" s="2">
        <f t="shared" si="13"/>
        <v>0.18472222222222218</v>
      </c>
      <c r="AD25" s="2">
        <f t="shared" si="13"/>
        <v>0.21666666666666667</v>
      </c>
      <c r="AE25" s="2">
        <f t="shared" si="13"/>
        <v>0.24444444444444441</v>
      </c>
      <c r="AF25" s="2">
        <f t="shared" si="13"/>
        <v>0.26944444444444449</v>
      </c>
    </row>
    <row r="26" spans="1:32" hidden="1" x14ac:dyDescent="0.25">
      <c r="B26">
        <f>B14*2</f>
        <v>1152</v>
      </c>
      <c r="C26">
        <f t="shared" ref="C26:AF26" si="14">C14*2</f>
        <v>1200</v>
      </c>
      <c r="D26">
        <f t="shared" si="14"/>
        <v>1248</v>
      </c>
      <c r="E26">
        <f t="shared" si="14"/>
        <v>1296</v>
      </c>
      <c r="F26">
        <f t="shared" si="14"/>
        <v>1344</v>
      </c>
      <c r="G26">
        <f t="shared" si="14"/>
        <v>1392</v>
      </c>
      <c r="H26">
        <f t="shared" si="14"/>
        <v>0</v>
      </c>
      <c r="I26">
        <f t="shared" si="14"/>
        <v>48</v>
      </c>
      <c r="J26">
        <f t="shared" si="14"/>
        <v>96</v>
      </c>
      <c r="K26">
        <f t="shared" si="14"/>
        <v>144</v>
      </c>
      <c r="L26">
        <f t="shared" si="14"/>
        <v>192</v>
      </c>
      <c r="M26">
        <f t="shared" si="14"/>
        <v>240</v>
      </c>
      <c r="N26">
        <f t="shared" si="14"/>
        <v>288</v>
      </c>
      <c r="O26">
        <f t="shared" si="14"/>
        <v>336</v>
      </c>
      <c r="P26">
        <f t="shared" si="14"/>
        <v>384</v>
      </c>
      <c r="Q26">
        <f t="shared" si="14"/>
        <v>432</v>
      </c>
      <c r="R26">
        <f t="shared" si="14"/>
        <v>480</v>
      </c>
      <c r="S26">
        <f t="shared" si="14"/>
        <v>528</v>
      </c>
      <c r="T26">
        <f t="shared" si="14"/>
        <v>576</v>
      </c>
      <c r="U26">
        <f t="shared" si="14"/>
        <v>624</v>
      </c>
      <c r="V26">
        <f t="shared" si="14"/>
        <v>672</v>
      </c>
      <c r="W26">
        <f t="shared" si="14"/>
        <v>720</v>
      </c>
      <c r="X26">
        <f t="shared" si="14"/>
        <v>768</v>
      </c>
      <c r="Y26">
        <f t="shared" si="14"/>
        <v>816</v>
      </c>
      <c r="Z26">
        <f t="shared" si="14"/>
        <v>864</v>
      </c>
      <c r="AA26">
        <f t="shared" si="14"/>
        <v>912</v>
      </c>
      <c r="AB26">
        <f t="shared" si="14"/>
        <v>960</v>
      </c>
      <c r="AC26">
        <f t="shared" si="14"/>
        <v>1008</v>
      </c>
      <c r="AD26">
        <f t="shared" si="14"/>
        <v>1056</v>
      </c>
      <c r="AE26">
        <f t="shared" si="14"/>
        <v>1104</v>
      </c>
      <c r="AF26">
        <f t="shared" si="14"/>
        <v>1152</v>
      </c>
    </row>
    <row r="27" spans="1:32" x14ac:dyDescent="0.25">
      <c r="A27" t="s">
        <v>33</v>
      </c>
      <c r="B27">
        <f>COS(4*PI()*B3/30)</f>
        <v>-0.80901699437494767</v>
      </c>
      <c r="C27">
        <f t="shared" ref="C27:AF27" si="15">COS(4*PI()*C3/30)</f>
        <v>-0.49999999999999983</v>
      </c>
      <c r="D27">
        <f t="shared" si="15"/>
        <v>-0.10452846326765272</v>
      </c>
      <c r="E27">
        <f t="shared" si="15"/>
        <v>0.30901699437494701</v>
      </c>
      <c r="F27">
        <f t="shared" si="15"/>
        <v>0.66913060635885835</v>
      </c>
      <c r="G27">
        <f t="shared" si="15"/>
        <v>0.9135454576426012</v>
      </c>
      <c r="H27">
        <f t="shared" si="15"/>
        <v>1</v>
      </c>
      <c r="I27">
        <f t="shared" si="15"/>
        <v>0.91354545764260087</v>
      </c>
      <c r="J27">
        <f t="shared" si="15"/>
        <v>0.66913060635885824</v>
      </c>
      <c r="K27">
        <f t="shared" si="15"/>
        <v>0.30901699437494745</v>
      </c>
      <c r="L27">
        <f t="shared" si="15"/>
        <v>-0.10452846326765333</v>
      </c>
      <c r="M27">
        <f t="shared" si="15"/>
        <v>-0.49999999999999978</v>
      </c>
      <c r="N27">
        <f t="shared" si="15"/>
        <v>-0.80901699437494734</v>
      </c>
      <c r="O27">
        <f t="shared" si="15"/>
        <v>-0.97814760073380569</v>
      </c>
      <c r="P27">
        <f t="shared" si="15"/>
        <v>-0.97814760073380569</v>
      </c>
      <c r="Q27">
        <f t="shared" si="15"/>
        <v>-0.80901699437494756</v>
      </c>
      <c r="R27">
        <f t="shared" si="15"/>
        <v>-0.50000000000000044</v>
      </c>
      <c r="S27">
        <f t="shared" si="15"/>
        <v>-0.10452846326765423</v>
      </c>
      <c r="T27">
        <f t="shared" si="15"/>
        <v>0.30901699437494723</v>
      </c>
      <c r="U27">
        <f t="shared" si="15"/>
        <v>0.66913060635885846</v>
      </c>
      <c r="V27">
        <f t="shared" si="15"/>
        <v>0.91354545764260098</v>
      </c>
      <c r="W27">
        <f t="shared" si="15"/>
        <v>1</v>
      </c>
      <c r="X27">
        <f t="shared" si="15"/>
        <v>0.91354545764260109</v>
      </c>
      <c r="Y27">
        <f t="shared" si="15"/>
        <v>0.66913060635885824</v>
      </c>
      <c r="Z27">
        <f t="shared" si="15"/>
        <v>0.30901699437494773</v>
      </c>
      <c r="AA27">
        <f t="shared" si="15"/>
        <v>-0.10452846326765287</v>
      </c>
      <c r="AB27">
        <f t="shared" si="15"/>
        <v>-0.49999999999999922</v>
      </c>
      <c r="AC27">
        <f t="shared" si="15"/>
        <v>-0.80901699437494723</v>
      </c>
      <c r="AD27">
        <f t="shared" si="15"/>
        <v>-0.97814760073380536</v>
      </c>
      <c r="AE27">
        <f t="shared" si="15"/>
        <v>-0.9781476007338058</v>
      </c>
      <c r="AF27">
        <f t="shared" si="15"/>
        <v>-0.80901699437494767</v>
      </c>
    </row>
    <row r="28" spans="1:32" x14ac:dyDescent="0.25">
      <c r="A28" t="s">
        <v>31</v>
      </c>
      <c r="B28" s="4">
        <f>4.9+B16</f>
        <v>4.3122147570009801</v>
      </c>
      <c r="C28" s="4">
        <f t="shared" ref="C28:AF28" si="16">4.9+C16</f>
        <v>4.0339746021985512</v>
      </c>
      <c r="D28" s="4">
        <f t="shared" si="16"/>
        <v>3.9054781059325436</v>
      </c>
      <c r="E28" s="4">
        <f t="shared" si="16"/>
        <v>3.9489434797113412</v>
      </c>
      <c r="F28" s="4">
        <f t="shared" si="16"/>
        <v>4.1568551655549868</v>
      </c>
      <c r="G28" s="4">
        <f t="shared" si="16"/>
        <v>4.4932633442437</v>
      </c>
      <c r="H28" s="4">
        <f t="shared" si="16"/>
        <v>4.9000000000000004</v>
      </c>
      <c r="I28" s="4">
        <f t="shared" si="16"/>
        <v>5.3067366426385423</v>
      </c>
      <c r="J28" s="4">
        <f t="shared" si="16"/>
        <v>5.6431448248368508</v>
      </c>
      <c r="K28" s="4">
        <f t="shared" si="16"/>
        <v>5.8510565158514307</v>
      </c>
      <c r="L28" s="4">
        <f t="shared" si="16"/>
        <v>5.8945218955683991</v>
      </c>
      <c r="M28" s="4">
        <f t="shared" si="16"/>
        <v>5.7660254049810371</v>
      </c>
      <c r="N28" s="4">
        <f t="shared" si="16"/>
        <v>5.4877852546158365</v>
      </c>
      <c r="O28" s="4">
        <f t="shared" si="16"/>
        <v>5.1079116940950176</v>
      </c>
      <c r="P28" s="4">
        <f t="shared" si="16"/>
        <v>4.6920883129276785</v>
      </c>
      <c r="Q28" s="4">
        <f t="shared" si="16"/>
        <v>4.3122147511925721</v>
      </c>
      <c r="R28" s="4">
        <f t="shared" si="16"/>
        <v>4.0339745986087578</v>
      </c>
      <c r="S28" s="4">
        <f t="shared" si="16"/>
        <v>3.9054781051820724</v>
      </c>
      <c r="T28" s="4">
        <f t="shared" si="16"/>
        <v>3.9489434819299554</v>
      </c>
      <c r="U28" s="4">
        <f t="shared" si="16"/>
        <v>4.1568551703590693</v>
      </c>
      <c r="V28" s="4">
        <f t="shared" si="16"/>
        <v>4.4932633508025797</v>
      </c>
      <c r="W28" s="4">
        <f t="shared" si="16"/>
        <v>4.8999999928204137</v>
      </c>
      <c r="X28" s="4">
        <f t="shared" si="16"/>
        <v>5.3067366360796635</v>
      </c>
      <c r="Y28" s="4">
        <f t="shared" si="16"/>
        <v>5.6431448200327692</v>
      </c>
      <c r="Z28" s="4">
        <f t="shared" si="16"/>
        <v>5.851056513632817</v>
      </c>
      <c r="AA28" s="4">
        <f t="shared" si="16"/>
        <v>5.8945218963188708</v>
      </c>
      <c r="AB28" s="4">
        <f t="shared" si="16"/>
        <v>5.7660254085708305</v>
      </c>
      <c r="AC28" s="4">
        <f t="shared" si="16"/>
        <v>5.4877852604242445</v>
      </c>
      <c r="AD28" s="4">
        <f t="shared" si="16"/>
        <v>5.1079117011177129</v>
      </c>
      <c r="AE28" s="4">
        <f t="shared" si="16"/>
        <v>4.6920883199503756</v>
      </c>
      <c r="AF28" s="4">
        <f t="shared" si="16"/>
        <v>4.3122147570009801</v>
      </c>
    </row>
    <row r="29" spans="1:32" x14ac:dyDescent="0.25">
      <c r="A29" t="s">
        <v>32</v>
      </c>
      <c r="B29" s="4">
        <f>IF(B3&lt;15,4.9+1*B16,4.9+0.6*B16)</f>
        <v>4.5473288542005879</v>
      </c>
      <c r="C29" s="4">
        <f t="shared" ref="C29:AF29" si="17">IF(C3&lt;15,4.9+1*C16,4.9+0.6*C16)</f>
        <v>4.3803847613191307</v>
      </c>
      <c r="D29" s="4">
        <f t="shared" si="17"/>
        <v>4.3032868635595261</v>
      </c>
      <c r="E29" s="4">
        <f t="shared" si="17"/>
        <v>4.3293660878268048</v>
      </c>
      <c r="F29" s="4">
        <f t="shared" si="17"/>
        <v>4.454113099332992</v>
      </c>
      <c r="G29" s="4">
        <f t="shared" si="17"/>
        <v>4.6559580065462205</v>
      </c>
      <c r="H29" s="4">
        <f t="shared" si="17"/>
        <v>4.9000000000000004</v>
      </c>
      <c r="I29" s="4">
        <f t="shared" si="17"/>
        <v>5.3067366426385423</v>
      </c>
      <c r="J29" s="4">
        <f t="shared" si="17"/>
        <v>5.6431448248368508</v>
      </c>
      <c r="K29" s="4">
        <f t="shared" si="17"/>
        <v>5.8510565158514307</v>
      </c>
      <c r="L29" s="4">
        <f t="shared" si="17"/>
        <v>5.8945218955683991</v>
      </c>
      <c r="M29" s="4">
        <f t="shared" si="17"/>
        <v>5.7660254049810371</v>
      </c>
      <c r="N29" s="4">
        <f t="shared" si="17"/>
        <v>5.4877852546158365</v>
      </c>
      <c r="O29" s="4">
        <f t="shared" si="17"/>
        <v>5.1079116940950176</v>
      </c>
      <c r="P29" s="4">
        <f t="shared" si="17"/>
        <v>4.6920883129276785</v>
      </c>
      <c r="Q29" s="4">
        <f t="shared" si="17"/>
        <v>4.3122147511925721</v>
      </c>
      <c r="R29" s="4">
        <f t="shared" si="17"/>
        <v>4.0339745986087578</v>
      </c>
      <c r="S29" s="4">
        <f t="shared" si="17"/>
        <v>3.9054781051820724</v>
      </c>
      <c r="T29" s="4">
        <f t="shared" si="17"/>
        <v>3.9489434819299554</v>
      </c>
      <c r="U29" s="4">
        <f t="shared" si="17"/>
        <v>4.1568551703590693</v>
      </c>
      <c r="V29" s="4">
        <f t="shared" si="17"/>
        <v>4.4932633508025797</v>
      </c>
      <c r="W29" s="4">
        <f t="shared" si="17"/>
        <v>4.899999995692248</v>
      </c>
      <c r="X29" s="4">
        <f t="shared" si="17"/>
        <v>5.1440419816477982</v>
      </c>
      <c r="Y29" s="4">
        <f t="shared" si="17"/>
        <v>5.3458868920196618</v>
      </c>
      <c r="Z29" s="4">
        <f t="shared" si="17"/>
        <v>5.47063390817969</v>
      </c>
      <c r="AA29" s="4">
        <f t="shared" si="17"/>
        <v>5.4967131377913221</v>
      </c>
      <c r="AB29" s="4">
        <f t="shared" si="17"/>
        <v>5.4196152451424986</v>
      </c>
      <c r="AC29" s="4">
        <f t="shared" si="17"/>
        <v>5.2526711562545465</v>
      </c>
      <c r="AD29" s="4">
        <f t="shared" si="17"/>
        <v>5.0247470206706275</v>
      </c>
      <c r="AE29" s="4">
        <f t="shared" si="17"/>
        <v>4.7752529919702251</v>
      </c>
      <c r="AF29" s="4">
        <f t="shared" si="17"/>
        <v>4.5473288542005879</v>
      </c>
    </row>
    <row r="30" spans="1:32" x14ac:dyDescent="0.25">
      <c r="B30" s="4">
        <f>B28-B29</f>
        <v>-0.23511409719960774</v>
      </c>
      <c r="C30" s="4">
        <f t="shared" ref="C30:AF30" si="18">C28-C29</f>
        <v>-0.34641015912057949</v>
      </c>
      <c r="D30" s="4">
        <f t="shared" si="18"/>
        <v>-0.39780875762698242</v>
      </c>
      <c r="E30" s="4">
        <f t="shared" si="18"/>
        <v>-0.38042260811546358</v>
      </c>
      <c r="F30" s="4">
        <f t="shared" si="18"/>
        <v>-0.29725793377800525</v>
      </c>
      <c r="G30" s="4">
        <f t="shared" si="18"/>
        <v>-0.1626946623025205</v>
      </c>
      <c r="H30" s="4">
        <f t="shared" si="18"/>
        <v>0</v>
      </c>
      <c r="I30" s="4">
        <f t="shared" si="18"/>
        <v>0</v>
      </c>
      <c r="J30" s="4">
        <f t="shared" si="18"/>
        <v>0</v>
      </c>
      <c r="K30" s="4">
        <f t="shared" si="18"/>
        <v>0</v>
      </c>
      <c r="L30" s="4">
        <f t="shared" si="18"/>
        <v>0</v>
      </c>
      <c r="M30" s="4">
        <f t="shared" si="18"/>
        <v>0</v>
      </c>
      <c r="N30" s="4">
        <f t="shared" si="18"/>
        <v>0</v>
      </c>
      <c r="O30" s="4">
        <f t="shared" si="18"/>
        <v>0</v>
      </c>
      <c r="P30" s="4">
        <f t="shared" si="18"/>
        <v>0</v>
      </c>
      <c r="Q30" s="4">
        <f t="shared" si="18"/>
        <v>0</v>
      </c>
      <c r="R30" s="4">
        <f t="shared" si="18"/>
        <v>0</v>
      </c>
      <c r="S30" s="4">
        <f t="shared" si="18"/>
        <v>0</v>
      </c>
      <c r="T30" s="4">
        <f t="shared" si="18"/>
        <v>0</v>
      </c>
      <c r="U30" s="4">
        <f t="shared" si="18"/>
        <v>0</v>
      </c>
      <c r="V30" s="4">
        <f t="shared" si="18"/>
        <v>0</v>
      </c>
      <c r="W30" s="4">
        <f t="shared" si="18"/>
        <v>-2.8718343259015455E-9</v>
      </c>
      <c r="X30" s="4">
        <f t="shared" si="18"/>
        <v>0.16269465443186526</v>
      </c>
      <c r="Y30" s="4">
        <f t="shared" si="18"/>
        <v>0.29725792801310735</v>
      </c>
      <c r="Z30" s="4">
        <f t="shared" si="18"/>
        <v>0.38042260545312701</v>
      </c>
      <c r="AA30" s="4">
        <f t="shared" si="18"/>
        <v>0.39780875852754871</v>
      </c>
      <c r="AB30" s="4">
        <f t="shared" si="18"/>
        <v>0.34641016342833186</v>
      </c>
      <c r="AC30" s="4">
        <f t="shared" si="18"/>
        <v>0.23511410416969802</v>
      </c>
      <c r="AD30" s="4">
        <f t="shared" si="18"/>
        <v>8.316468044708536E-2</v>
      </c>
      <c r="AE30" s="4">
        <f t="shared" si="18"/>
        <v>-8.3164672019849561E-2</v>
      </c>
      <c r="AF30" s="4">
        <f t="shared" si="18"/>
        <v>-0.23511409719960774</v>
      </c>
    </row>
    <row r="31" spans="1:32" x14ac:dyDescent="0.25">
      <c r="A31" t="s">
        <v>31</v>
      </c>
      <c r="B31">
        <f>0.55+B27</f>
        <v>-0.25901699437494763</v>
      </c>
      <c r="C31">
        <f t="shared" ref="C31:AF31" si="19">0.55+C27</f>
        <v>5.0000000000000211E-2</v>
      </c>
      <c r="D31">
        <f t="shared" si="19"/>
        <v>0.4454715367323473</v>
      </c>
      <c r="E31">
        <f t="shared" si="19"/>
        <v>0.85901699437494705</v>
      </c>
      <c r="F31">
        <f t="shared" si="19"/>
        <v>1.2191306063588585</v>
      </c>
      <c r="G31">
        <f t="shared" si="19"/>
        <v>1.4635454576426012</v>
      </c>
      <c r="H31">
        <f t="shared" si="19"/>
        <v>1.55</v>
      </c>
      <c r="I31">
        <f t="shared" si="19"/>
        <v>1.463545457642601</v>
      </c>
      <c r="J31">
        <f t="shared" si="19"/>
        <v>1.2191306063588583</v>
      </c>
      <c r="K31">
        <f t="shared" si="19"/>
        <v>0.8590169943749475</v>
      </c>
      <c r="L31">
        <f t="shared" si="19"/>
        <v>0.44547153673234674</v>
      </c>
      <c r="M31">
        <f t="shared" si="19"/>
        <v>5.0000000000000266E-2</v>
      </c>
      <c r="N31">
        <f t="shared" si="19"/>
        <v>-0.2590169943749473</v>
      </c>
      <c r="O31">
        <f t="shared" si="19"/>
        <v>-0.42814760073380564</v>
      </c>
      <c r="P31">
        <f t="shared" si="19"/>
        <v>-0.42814760073380564</v>
      </c>
      <c r="Q31">
        <f t="shared" si="19"/>
        <v>-0.25901699437494752</v>
      </c>
      <c r="R31">
        <f t="shared" si="19"/>
        <v>4.99999999999996E-2</v>
      </c>
      <c r="S31">
        <f t="shared" si="19"/>
        <v>0.4454715367323458</v>
      </c>
      <c r="T31">
        <f t="shared" si="19"/>
        <v>0.85901699437494727</v>
      </c>
      <c r="U31">
        <f t="shared" si="19"/>
        <v>1.2191306063588585</v>
      </c>
      <c r="V31">
        <f t="shared" si="19"/>
        <v>1.463545457642601</v>
      </c>
      <c r="W31">
        <f t="shared" si="19"/>
        <v>1.55</v>
      </c>
      <c r="X31">
        <f t="shared" si="19"/>
        <v>1.463545457642601</v>
      </c>
      <c r="Y31">
        <f t="shared" si="19"/>
        <v>1.2191306063588583</v>
      </c>
      <c r="Z31">
        <f t="shared" si="19"/>
        <v>0.85901699437494772</v>
      </c>
      <c r="AA31">
        <f t="shared" si="19"/>
        <v>0.44547153673234718</v>
      </c>
      <c r="AB31">
        <f t="shared" si="19"/>
        <v>5.0000000000000822E-2</v>
      </c>
      <c r="AC31">
        <f t="shared" si="19"/>
        <v>-0.25901699437494718</v>
      </c>
      <c r="AD31">
        <f t="shared" si="19"/>
        <v>-0.42814760073380531</v>
      </c>
      <c r="AE31">
        <f t="shared" si="19"/>
        <v>-0.42814760073380576</v>
      </c>
      <c r="AF31">
        <f t="shared" si="19"/>
        <v>-0.25901699437494763</v>
      </c>
    </row>
    <row r="32" spans="1:32" x14ac:dyDescent="0.25">
      <c r="A32" t="s">
        <v>32</v>
      </c>
      <c r="B32">
        <f>IF(OR(B3&lt;4,B3&gt;19),0.7*B27+0.55,B27+0.55)</f>
        <v>-1.6311896062463305E-2</v>
      </c>
      <c r="C32">
        <f t="shared" ref="C32:AF32" si="20">IF(OR(C3&lt;4,C3&gt;19),0.7*C27+0.55,C27+0.55)</f>
        <v>0.20000000000000018</v>
      </c>
      <c r="D32">
        <f t="shared" si="20"/>
        <v>0.47683007571264313</v>
      </c>
      <c r="E32">
        <f t="shared" si="20"/>
        <v>0.76631189606246297</v>
      </c>
      <c r="F32">
        <f t="shared" si="20"/>
        <v>1.0183914244512009</v>
      </c>
      <c r="G32">
        <f t="shared" si="20"/>
        <v>1.1894818203498208</v>
      </c>
      <c r="H32">
        <f t="shared" si="20"/>
        <v>1.25</v>
      </c>
      <c r="I32">
        <f t="shared" si="20"/>
        <v>1.1894818203498208</v>
      </c>
      <c r="J32">
        <f t="shared" si="20"/>
        <v>1.0183914244512007</v>
      </c>
      <c r="K32">
        <f t="shared" si="20"/>
        <v>0.7663118960624633</v>
      </c>
      <c r="L32">
        <f t="shared" si="20"/>
        <v>0.44547153673234674</v>
      </c>
      <c r="M32">
        <f t="shared" si="20"/>
        <v>5.0000000000000266E-2</v>
      </c>
      <c r="N32">
        <f t="shared" si="20"/>
        <v>-0.2590169943749473</v>
      </c>
      <c r="O32">
        <f t="shared" si="20"/>
        <v>-0.42814760073380564</v>
      </c>
      <c r="P32">
        <f t="shared" si="20"/>
        <v>-0.42814760073380564</v>
      </c>
      <c r="Q32">
        <f t="shared" si="20"/>
        <v>-0.25901699437494752</v>
      </c>
      <c r="R32">
        <f t="shared" si="20"/>
        <v>4.99999999999996E-2</v>
      </c>
      <c r="S32">
        <f t="shared" si="20"/>
        <v>0.4454715367323458</v>
      </c>
      <c r="T32">
        <f t="shared" si="20"/>
        <v>0.85901699437494727</v>
      </c>
      <c r="U32">
        <f t="shared" si="20"/>
        <v>1.2191306063588585</v>
      </c>
      <c r="V32">
        <f t="shared" si="20"/>
        <v>1.463545457642601</v>
      </c>
      <c r="W32">
        <f t="shared" si="20"/>
        <v>1.55</v>
      </c>
      <c r="X32">
        <f t="shared" si="20"/>
        <v>1.463545457642601</v>
      </c>
      <c r="Y32">
        <f t="shared" si="20"/>
        <v>1.2191306063588583</v>
      </c>
      <c r="Z32">
        <f t="shared" si="20"/>
        <v>0.85901699437494772</v>
      </c>
      <c r="AA32">
        <f t="shared" si="20"/>
        <v>0.44547153673234718</v>
      </c>
      <c r="AB32">
        <f t="shared" si="20"/>
        <v>0.20000000000000062</v>
      </c>
      <c r="AC32">
        <f t="shared" si="20"/>
        <v>-1.6311896062462972E-2</v>
      </c>
      <c r="AD32">
        <f t="shared" si="20"/>
        <v>-0.13470332051366363</v>
      </c>
      <c r="AE32">
        <f t="shared" si="20"/>
        <v>-0.13470332051366396</v>
      </c>
      <c r="AF32">
        <f t="shared" si="20"/>
        <v>-1.6311896062463305E-2</v>
      </c>
    </row>
    <row r="33" spans="1:32" x14ac:dyDescent="0.25">
      <c r="A33" t="s">
        <v>30</v>
      </c>
      <c r="B33">
        <f>SIN(4*PI()*B3/30)</f>
        <v>-0.5877852522924728</v>
      </c>
      <c r="C33">
        <f t="shared" ref="C33:AF33" si="21">SIN(4*PI()*C3/30)</f>
        <v>-0.86602540378443871</v>
      </c>
      <c r="D33">
        <f t="shared" si="21"/>
        <v>-0.9945218953682734</v>
      </c>
      <c r="E33">
        <f t="shared" si="21"/>
        <v>-0.95105651629515375</v>
      </c>
      <c r="F33">
        <f t="shared" si="21"/>
        <v>-0.74314482547739413</v>
      </c>
      <c r="G33">
        <f t="shared" si="21"/>
        <v>-0.40673664307579954</v>
      </c>
      <c r="H33">
        <f t="shared" si="21"/>
        <v>0</v>
      </c>
      <c r="I33">
        <f t="shared" si="21"/>
        <v>0.40673664307580015</v>
      </c>
      <c r="J33">
        <f t="shared" si="21"/>
        <v>0.74314482547739413</v>
      </c>
      <c r="K33">
        <f t="shared" si="21"/>
        <v>0.95105651629515353</v>
      </c>
      <c r="L33">
        <f t="shared" si="21"/>
        <v>0.9945218953682734</v>
      </c>
      <c r="M33">
        <f t="shared" si="21"/>
        <v>0.86602540378443871</v>
      </c>
      <c r="N33">
        <f t="shared" si="21"/>
        <v>0.58778525229247325</v>
      </c>
      <c r="O33">
        <f t="shared" si="21"/>
        <v>0.20791169081775931</v>
      </c>
      <c r="P33">
        <f t="shared" si="21"/>
        <v>-0.20791169081775907</v>
      </c>
      <c r="Q33">
        <f t="shared" si="21"/>
        <v>-0.58778525229247303</v>
      </c>
      <c r="R33">
        <f t="shared" si="21"/>
        <v>-0.86602540378443837</v>
      </c>
      <c r="S33">
        <f t="shared" si="21"/>
        <v>-0.99452189536827329</v>
      </c>
      <c r="T33">
        <f t="shared" si="21"/>
        <v>-0.95105651629515364</v>
      </c>
      <c r="U33">
        <f t="shared" si="21"/>
        <v>-0.74314482547739402</v>
      </c>
      <c r="V33">
        <f t="shared" si="21"/>
        <v>-0.40673664307580015</v>
      </c>
      <c r="W33">
        <f t="shared" si="21"/>
        <v>-1.1332081106818492E-15</v>
      </c>
      <c r="X33">
        <f t="shared" si="21"/>
        <v>0.40673664307579971</v>
      </c>
      <c r="Y33">
        <f t="shared" si="21"/>
        <v>0.74314482547739424</v>
      </c>
      <c r="Z33">
        <f t="shared" si="21"/>
        <v>0.95105651629515353</v>
      </c>
      <c r="AA33">
        <f t="shared" si="21"/>
        <v>0.9945218953682734</v>
      </c>
      <c r="AB33">
        <f t="shared" si="21"/>
        <v>0.86602540378443915</v>
      </c>
      <c r="AC33">
        <f t="shared" si="21"/>
        <v>0.58778525229247336</v>
      </c>
      <c r="AD33">
        <f t="shared" si="21"/>
        <v>0.20791169081776084</v>
      </c>
      <c r="AE33">
        <f t="shared" si="21"/>
        <v>-0.2079116908177584</v>
      </c>
      <c r="AF33">
        <f t="shared" si="21"/>
        <v>-0.5877852522924728</v>
      </c>
    </row>
    <row r="34" spans="1:32" x14ac:dyDescent="0.25">
      <c r="A34" t="s">
        <v>34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M18"/>
  <sheetViews>
    <sheetView topLeftCell="A3" workbookViewId="0">
      <selection activeCell="B8" sqref="B8"/>
    </sheetView>
  </sheetViews>
  <sheetFormatPr defaultRowHeight="15" x14ac:dyDescent="0.25"/>
  <cols>
    <col min="3" max="3" width="12" bestFit="1" customWidth="1"/>
  </cols>
  <sheetData>
    <row r="5" spans="1:91" x14ac:dyDescent="0.25">
      <c r="C5">
        <v>1.7453292499999998E-2</v>
      </c>
    </row>
    <row r="10" spans="1:91" x14ac:dyDescent="0.25">
      <c r="A10">
        <v>0</v>
      </c>
      <c r="B10">
        <v>1</v>
      </c>
      <c r="C10">
        <v>2</v>
      </c>
      <c r="D10">
        <v>3</v>
      </c>
      <c r="E10">
        <v>4</v>
      </c>
      <c r="F10">
        <v>5</v>
      </c>
      <c r="G10">
        <v>6</v>
      </c>
      <c r="H10">
        <v>7</v>
      </c>
      <c r="I10">
        <v>8</v>
      </c>
      <c r="J10">
        <v>9</v>
      </c>
      <c r="K10">
        <v>10</v>
      </c>
      <c r="L10">
        <v>11</v>
      </c>
      <c r="M10">
        <v>12</v>
      </c>
      <c r="N10">
        <v>13</v>
      </c>
      <c r="O10">
        <v>14</v>
      </c>
      <c r="P10">
        <v>15</v>
      </c>
      <c r="Q10">
        <v>16</v>
      </c>
      <c r="R10">
        <v>17</v>
      </c>
      <c r="S10">
        <v>18</v>
      </c>
      <c r="T10">
        <v>19</v>
      </c>
      <c r="U10">
        <v>20</v>
      </c>
      <c r="V10">
        <v>21</v>
      </c>
      <c r="W10">
        <v>22</v>
      </c>
      <c r="X10">
        <v>23</v>
      </c>
      <c r="Y10">
        <v>24</v>
      </c>
      <c r="Z10">
        <v>25</v>
      </c>
      <c r="AA10">
        <v>26</v>
      </c>
      <c r="AB10">
        <v>27</v>
      </c>
      <c r="AC10">
        <v>28</v>
      </c>
      <c r="AD10">
        <v>29</v>
      </c>
      <c r="AE10">
        <v>30</v>
      </c>
      <c r="AF10">
        <v>31</v>
      </c>
      <c r="AG10">
        <v>32</v>
      </c>
      <c r="AH10">
        <v>33</v>
      </c>
      <c r="AI10">
        <v>34</v>
      </c>
      <c r="AJ10">
        <v>35</v>
      </c>
      <c r="AK10">
        <v>36</v>
      </c>
      <c r="AL10">
        <v>37</v>
      </c>
      <c r="AM10">
        <v>38</v>
      </c>
      <c r="AN10">
        <v>39</v>
      </c>
      <c r="AO10">
        <v>40</v>
      </c>
      <c r="AP10">
        <v>41</v>
      </c>
      <c r="AQ10">
        <v>42</v>
      </c>
      <c r="AR10">
        <v>43</v>
      </c>
      <c r="AS10">
        <v>44</v>
      </c>
      <c r="AT10">
        <v>45</v>
      </c>
      <c r="AU10">
        <v>46</v>
      </c>
      <c r="AV10">
        <v>47</v>
      </c>
      <c r="AW10">
        <v>48</v>
      </c>
      <c r="AX10">
        <v>49</v>
      </c>
      <c r="AY10">
        <v>50</v>
      </c>
      <c r="AZ10">
        <v>51</v>
      </c>
      <c r="BA10">
        <v>52</v>
      </c>
      <c r="BB10">
        <v>53</v>
      </c>
      <c r="BC10">
        <v>54</v>
      </c>
      <c r="BD10">
        <v>55</v>
      </c>
      <c r="BE10">
        <v>56</v>
      </c>
      <c r="BF10">
        <v>57</v>
      </c>
      <c r="BG10">
        <v>58</v>
      </c>
      <c r="BH10">
        <v>59</v>
      </c>
      <c r="BI10">
        <v>60</v>
      </c>
      <c r="BJ10">
        <v>61</v>
      </c>
      <c r="BK10">
        <v>62</v>
      </c>
      <c r="BL10">
        <v>63</v>
      </c>
      <c r="BM10">
        <v>64</v>
      </c>
      <c r="BN10">
        <v>65</v>
      </c>
      <c r="BO10">
        <v>66</v>
      </c>
      <c r="BP10">
        <v>67</v>
      </c>
      <c r="BQ10">
        <v>68</v>
      </c>
      <c r="BR10">
        <v>69</v>
      </c>
      <c r="BS10">
        <v>70</v>
      </c>
      <c r="BT10">
        <v>71</v>
      </c>
      <c r="BU10">
        <v>72</v>
      </c>
      <c r="BV10">
        <v>73</v>
      </c>
      <c r="BW10">
        <v>74</v>
      </c>
      <c r="BX10">
        <v>75</v>
      </c>
      <c r="BY10">
        <v>76</v>
      </c>
      <c r="BZ10">
        <v>77</v>
      </c>
      <c r="CA10">
        <v>78</v>
      </c>
      <c r="CB10">
        <v>79</v>
      </c>
      <c r="CC10">
        <v>80</v>
      </c>
      <c r="CD10">
        <v>81</v>
      </c>
      <c r="CE10">
        <v>82</v>
      </c>
      <c r="CF10">
        <v>83</v>
      </c>
      <c r="CG10">
        <v>84</v>
      </c>
      <c r="CH10">
        <v>85</v>
      </c>
      <c r="CI10">
        <v>86</v>
      </c>
      <c r="CJ10">
        <v>87</v>
      </c>
      <c r="CK10">
        <v>88</v>
      </c>
      <c r="CL10">
        <v>89</v>
      </c>
      <c r="CM10">
        <v>90</v>
      </c>
    </row>
    <row r="11" spans="1:91" x14ac:dyDescent="0.25">
      <c r="A11">
        <f>A10*$C$5</f>
        <v>0</v>
      </c>
      <c r="B11">
        <f>B10*$C$5</f>
        <v>1.7453292499999998E-2</v>
      </c>
      <c r="C11">
        <f t="shared" ref="C11:BN11" si="0">C10*$C$5</f>
        <v>3.4906584999999997E-2</v>
      </c>
      <c r="D11">
        <f t="shared" si="0"/>
        <v>5.2359877499999999E-2</v>
      </c>
      <c r="E11">
        <f t="shared" si="0"/>
        <v>6.9813169999999994E-2</v>
      </c>
      <c r="F11">
        <f t="shared" si="0"/>
        <v>8.7266462499999989E-2</v>
      </c>
      <c r="G11">
        <f t="shared" si="0"/>
        <v>0.104719755</v>
      </c>
      <c r="H11">
        <f t="shared" si="0"/>
        <v>0.12217304749999999</v>
      </c>
      <c r="I11">
        <f t="shared" si="0"/>
        <v>0.13962633999999999</v>
      </c>
      <c r="J11">
        <f t="shared" si="0"/>
        <v>0.15707963249999998</v>
      </c>
      <c r="K11">
        <f t="shared" si="0"/>
        <v>0.17453292499999998</v>
      </c>
      <c r="L11">
        <f t="shared" si="0"/>
        <v>0.19198621749999997</v>
      </c>
      <c r="M11">
        <f t="shared" si="0"/>
        <v>0.20943951</v>
      </c>
      <c r="N11">
        <f t="shared" si="0"/>
        <v>0.22689280249999999</v>
      </c>
      <c r="O11">
        <f t="shared" si="0"/>
        <v>0.24434609499999999</v>
      </c>
      <c r="P11">
        <f t="shared" si="0"/>
        <v>0.26179938749999998</v>
      </c>
      <c r="Q11">
        <f t="shared" si="0"/>
        <v>0.27925267999999998</v>
      </c>
      <c r="R11">
        <f t="shared" si="0"/>
        <v>0.29670597249999997</v>
      </c>
      <c r="S11">
        <f t="shared" si="0"/>
        <v>0.31415926499999997</v>
      </c>
      <c r="T11">
        <f t="shared" si="0"/>
        <v>0.33161255749999996</v>
      </c>
      <c r="U11">
        <f t="shared" si="0"/>
        <v>0.34906584999999996</v>
      </c>
      <c r="V11">
        <f t="shared" si="0"/>
        <v>0.36651914249999995</v>
      </c>
      <c r="W11">
        <f t="shared" si="0"/>
        <v>0.38397243499999995</v>
      </c>
      <c r="X11">
        <f t="shared" si="0"/>
        <v>0.40142572749999994</v>
      </c>
      <c r="Y11">
        <f t="shared" si="0"/>
        <v>0.41887901999999999</v>
      </c>
      <c r="Z11">
        <f t="shared" si="0"/>
        <v>0.43633231249999999</v>
      </c>
      <c r="AA11">
        <f t="shared" si="0"/>
        <v>0.45378560499999998</v>
      </c>
      <c r="AB11">
        <f t="shared" si="0"/>
        <v>0.47123889749999998</v>
      </c>
      <c r="AC11">
        <f t="shared" si="0"/>
        <v>0.48869218999999997</v>
      </c>
      <c r="AD11">
        <f t="shared" si="0"/>
        <v>0.50614548249999991</v>
      </c>
      <c r="AE11">
        <f t="shared" si="0"/>
        <v>0.52359877499999996</v>
      </c>
      <c r="AF11">
        <f t="shared" si="0"/>
        <v>0.5410520674999999</v>
      </c>
      <c r="AG11">
        <f t="shared" si="0"/>
        <v>0.55850535999999995</v>
      </c>
      <c r="AH11">
        <f t="shared" si="0"/>
        <v>0.5759586525</v>
      </c>
      <c r="AI11">
        <f t="shared" si="0"/>
        <v>0.59341194499999994</v>
      </c>
      <c r="AJ11">
        <f t="shared" si="0"/>
        <v>0.61086523749999999</v>
      </c>
      <c r="AK11">
        <f t="shared" si="0"/>
        <v>0.62831852999999993</v>
      </c>
      <c r="AL11">
        <f t="shared" si="0"/>
        <v>0.64577182249999998</v>
      </c>
      <c r="AM11">
        <f t="shared" si="0"/>
        <v>0.66322511499999992</v>
      </c>
      <c r="AN11">
        <f t="shared" si="0"/>
        <v>0.68067840749999997</v>
      </c>
      <c r="AO11">
        <f t="shared" si="0"/>
        <v>0.69813169999999991</v>
      </c>
      <c r="AP11">
        <f t="shared" si="0"/>
        <v>0.71558499249999996</v>
      </c>
      <c r="AQ11">
        <f t="shared" si="0"/>
        <v>0.7330382849999999</v>
      </c>
      <c r="AR11">
        <f t="shared" si="0"/>
        <v>0.75049157749999995</v>
      </c>
      <c r="AS11">
        <f t="shared" si="0"/>
        <v>0.76794486999999989</v>
      </c>
      <c r="AT11">
        <f t="shared" si="0"/>
        <v>0.78539816249999994</v>
      </c>
      <c r="AU11">
        <f t="shared" si="0"/>
        <v>0.80285145499999988</v>
      </c>
      <c r="AV11">
        <f t="shared" si="0"/>
        <v>0.82030474749999993</v>
      </c>
      <c r="AW11">
        <f t="shared" si="0"/>
        <v>0.83775803999999998</v>
      </c>
      <c r="AX11">
        <f t="shared" si="0"/>
        <v>0.85521133249999992</v>
      </c>
      <c r="AY11">
        <f t="shared" si="0"/>
        <v>0.87266462499999997</v>
      </c>
      <c r="AZ11">
        <f t="shared" si="0"/>
        <v>0.89011791749999991</v>
      </c>
      <c r="BA11">
        <f t="shared" si="0"/>
        <v>0.90757120999999996</v>
      </c>
      <c r="BB11">
        <f t="shared" si="0"/>
        <v>0.9250245024999999</v>
      </c>
      <c r="BC11">
        <f t="shared" si="0"/>
        <v>0.94247779499999995</v>
      </c>
      <c r="BD11">
        <f t="shared" si="0"/>
        <v>0.95993108749999989</v>
      </c>
      <c r="BE11">
        <f t="shared" si="0"/>
        <v>0.97738437999999994</v>
      </c>
      <c r="BF11">
        <f t="shared" si="0"/>
        <v>0.99483767249999988</v>
      </c>
      <c r="BG11">
        <f t="shared" si="0"/>
        <v>1.0122909649999998</v>
      </c>
      <c r="BH11">
        <f t="shared" si="0"/>
        <v>1.0297442575</v>
      </c>
      <c r="BI11">
        <f t="shared" si="0"/>
        <v>1.0471975499999999</v>
      </c>
      <c r="BJ11">
        <f t="shared" si="0"/>
        <v>1.0646508424999999</v>
      </c>
      <c r="BK11">
        <f t="shared" si="0"/>
        <v>1.0821041349999998</v>
      </c>
      <c r="BL11">
        <f t="shared" si="0"/>
        <v>1.0995574275</v>
      </c>
      <c r="BM11">
        <f t="shared" si="0"/>
        <v>1.1170107199999999</v>
      </c>
      <c r="BN11">
        <f t="shared" si="0"/>
        <v>1.1344640124999998</v>
      </c>
      <c r="BO11">
        <f t="shared" ref="BO11:CM11" si="1">BO10*$C$5</f>
        <v>1.151917305</v>
      </c>
      <c r="BP11">
        <f t="shared" si="1"/>
        <v>1.1693705974999999</v>
      </c>
      <c r="BQ11">
        <f t="shared" si="1"/>
        <v>1.1868238899999999</v>
      </c>
      <c r="BR11">
        <f t="shared" si="1"/>
        <v>1.2042771824999998</v>
      </c>
      <c r="BS11">
        <f t="shared" si="1"/>
        <v>1.221730475</v>
      </c>
      <c r="BT11">
        <f t="shared" si="1"/>
        <v>1.2391837674999999</v>
      </c>
      <c r="BU11">
        <f t="shared" si="1"/>
        <v>1.2566370599999999</v>
      </c>
      <c r="BV11">
        <f t="shared" si="1"/>
        <v>1.2740903524999998</v>
      </c>
      <c r="BW11">
        <f t="shared" si="1"/>
        <v>1.291543645</v>
      </c>
      <c r="BX11">
        <f t="shared" si="1"/>
        <v>1.3089969374999999</v>
      </c>
      <c r="BY11">
        <f t="shared" si="1"/>
        <v>1.3264502299999998</v>
      </c>
      <c r="BZ11">
        <f t="shared" si="1"/>
        <v>1.3439035224999998</v>
      </c>
      <c r="CA11">
        <f t="shared" si="1"/>
        <v>1.3613568149999999</v>
      </c>
      <c r="CB11">
        <f t="shared" si="1"/>
        <v>1.3788101074999999</v>
      </c>
      <c r="CC11">
        <f t="shared" si="1"/>
        <v>1.3962633999999998</v>
      </c>
      <c r="CD11">
        <f t="shared" si="1"/>
        <v>1.4137166925</v>
      </c>
      <c r="CE11">
        <f t="shared" si="1"/>
        <v>1.4311699849999999</v>
      </c>
      <c r="CF11">
        <f t="shared" si="1"/>
        <v>1.4486232774999999</v>
      </c>
      <c r="CG11">
        <f t="shared" si="1"/>
        <v>1.4660765699999998</v>
      </c>
      <c r="CH11">
        <f t="shared" si="1"/>
        <v>1.4835298625</v>
      </c>
      <c r="CI11">
        <f t="shared" si="1"/>
        <v>1.5009831549999999</v>
      </c>
      <c r="CJ11">
        <f t="shared" si="1"/>
        <v>1.5184364474999998</v>
      </c>
      <c r="CK11">
        <f t="shared" si="1"/>
        <v>1.5358897399999998</v>
      </c>
      <c r="CL11">
        <f t="shared" si="1"/>
        <v>1.5533430324999999</v>
      </c>
      <c r="CM11">
        <f t="shared" si="1"/>
        <v>1.5707963249999999</v>
      </c>
    </row>
    <row r="12" spans="1:91" x14ac:dyDescent="0.25">
      <c r="A12">
        <f>SIN(A11)</f>
        <v>0</v>
      </c>
      <c r="B12">
        <f>SIN(B11)</f>
        <v>1.7452406417343254E-2</v>
      </c>
      <c r="C12">
        <f t="shared" ref="C12:BN12" si="2">SIN(C11)</f>
        <v>3.4899496662638675E-2</v>
      </c>
      <c r="D12">
        <f t="shared" si="2"/>
        <v>5.2335956183195941E-2</v>
      </c>
      <c r="E12">
        <f t="shared" si="2"/>
        <v>6.9756473664546431E-2</v>
      </c>
      <c r="F12">
        <f t="shared" si="2"/>
        <v>8.7155742648321141E-2</v>
      </c>
      <c r="G12">
        <f t="shared" si="2"/>
        <v>0.10452846314864921</v>
      </c>
      <c r="H12">
        <f t="shared" si="2"/>
        <v>0.12186934326658498</v>
      </c>
      <c r="I12">
        <f t="shared" si="2"/>
        <v>0.13917310080207176</v>
      </c>
      <c r="J12">
        <f t="shared" si="2"/>
        <v>0.15643446486295101</v>
      </c>
      <c r="K12">
        <f t="shared" si="2"/>
        <v>0.17364817747052722</v>
      </c>
      <c r="L12">
        <f t="shared" si="2"/>
        <v>0.19080899516119909</v>
      </c>
      <c r="M12">
        <f t="shared" si="2"/>
        <v>0.20791169058366948</v>
      </c>
      <c r="N12">
        <f t="shared" si="2"/>
        <v>0.22495105409124702</v>
      </c>
      <c r="O12">
        <f t="shared" si="2"/>
        <v>0.24192189532875519</v>
      </c>
      <c r="P12">
        <f t="shared" si="2"/>
        <v>0.2588190448135646</v>
      </c>
      <c r="Q12">
        <f t="shared" si="2"/>
        <v>0.27563735551026752</v>
      </c>
      <c r="R12">
        <f t="shared" si="2"/>
        <v>0.29237170439851495</v>
      </c>
      <c r="S12">
        <f t="shared" si="2"/>
        <v>0.30901699403353777</v>
      </c>
      <c r="T12">
        <f t="shared" si="2"/>
        <v>0.32556815409887824</v>
      </c>
      <c r="U12">
        <f t="shared" si="2"/>
        <v>0.34202014295085731</v>
      </c>
      <c r="V12">
        <f t="shared" si="2"/>
        <v>0.35836794915430814</v>
      </c>
      <c r="W12">
        <f t="shared" si="2"/>
        <v>0.37460659300910776</v>
      </c>
      <c r="X12">
        <f t="shared" si="2"/>
        <v>0.39073112806704197</v>
      </c>
      <c r="Y12">
        <f t="shared" si="2"/>
        <v>0.40673664263854165</v>
      </c>
      <c r="Z12">
        <f t="shared" si="2"/>
        <v>0.42261826128883034</v>
      </c>
      <c r="AA12">
        <f t="shared" si="2"/>
        <v>0.43837114632302959</v>
      </c>
      <c r="AB12">
        <f t="shared" si="2"/>
        <v>0.45399049925976737</v>
      </c>
      <c r="AC12">
        <f t="shared" si="2"/>
        <v>0.46947156229284198</v>
      </c>
      <c r="AD12">
        <f t="shared" si="2"/>
        <v>0.48480961974049575</v>
      </c>
      <c r="AE12">
        <f t="shared" si="2"/>
        <v>0.49999999948185792</v>
      </c>
      <c r="AF12">
        <f t="shared" si="2"/>
        <v>0.51503807438011717</v>
      </c>
      <c r="AG12">
        <f t="shared" si="2"/>
        <v>0.52991926369199294</v>
      </c>
      <c r="AH12">
        <f t="shared" si="2"/>
        <v>0.54463903446307382</v>
      </c>
      <c r="AI12">
        <f t="shared" si="2"/>
        <v>0.55919290290859958</v>
      </c>
      <c r="AJ12">
        <f t="shared" si="2"/>
        <v>0.57357643577926543</v>
      </c>
      <c r="AK12">
        <f t="shared" si="2"/>
        <v>0.58778525171163232</v>
      </c>
      <c r="AL12">
        <f t="shared" si="2"/>
        <v>0.60181502256273356</v>
      </c>
      <c r="AM12">
        <f t="shared" si="2"/>
        <v>0.61566147472846799</v>
      </c>
      <c r="AN12">
        <f t="shared" si="2"/>
        <v>0.62932039044538224</v>
      </c>
      <c r="AO12">
        <f t="shared" si="2"/>
        <v>0.64278760907544119</v>
      </c>
      <c r="AP12">
        <f t="shared" si="2"/>
        <v>0.65605902837340002</v>
      </c>
      <c r="AQ12">
        <f t="shared" si="2"/>
        <v>0.66913060573638639</v>
      </c>
      <c r="AR12">
        <f t="shared" si="2"/>
        <v>0.6819983594353175</v>
      </c>
      <c r="AS12">
        <f t="shared" si="2"/>
        <v>0.69465836982777296</v>
      </c>
      <c r="AT12">
        <f t="shared" si="2"/>
        <v>0.70710678055195575</v>
      </c>
      <c r="AU12">
        <f t="shared" si="2"/>
        <v>0.71933979970137729</v>
      </c>
      <c r="AV12">
        <f t="shared" si="2"/>
        <v>0.73135370097990959</v>
      </c>
      <c r="AW12">
        <f t="shared" si="2"/>
        <v>0.74314482483685007</v>
      </c>
      <c r="AX12">
        <f t="shared" si="2"/>
        <v>0.75470957958165696</v>
      </c>
      <c r="AY12">
        <f t="shared" si="2"/>
        <v>0.76604444247801284</v>
      </c>
      <c r="AZ12">
        <f t="shared" si="2"/>
        <v>0.77714596081688392</v>
      </c>
      <c r="BA12">
        <f t="shared" si="2"/>
        <v>0.7880107529682493</v>
      </c>
      <c r="BB12">
        <f t="shared" si="2"/>
        <v>0.79863550941117756</v>
      </c>
      <c r="BC12">
        <f t="shared" si="2"/>
        <v>0.80901699374193914</v>
      </c>
      <c r="BD12">
        <f t="shared" si="2"/>
        <v>0.81915204365984651</v>
      </c>
      <c r="BE12">
        <f t="shared" si="2"/>
        <v>0.8290375719305213</v>
      </c>
      <c r="BF12">
        <f t="shared" si="2"/>
        <v>0.83867056732629586</v>
      </c>
      <c r="BG12">
        <f t="shared" si="2"/>
        <v>0.84804809554346239</v>
      </c>
      <c r="BH12">
        <f t="shared" si="2"/>
        <v>0.85716730009609043</v>
      </c>
      <c r="BI12">
        <f t="shared" si="2"/>
        <v>0.86602540318613974</v>
      </c>
      <c r="BJ12">
        <f t="shared" si="2"/>
        <v>0.87461970654960497</v>
      </c>
      <c r="BK12">
        <f t="shared" si="2"/>
        <v>0.88294759227843256</v>
      </c>
      <c r="BL12">
        <f t="shared" si="2"/>
        <v>0.89100652361796162</v>
      </c>
      <c r="BM12">
        <f t="shared" si="2"/>
        <v>0.89879404573964272</v>
      </c>
      <c r="BN12">
        <f t="shared" si="2"/>
        <v>0.90630778648880383</v>
      </c>
      <c r="BO12">
        <f t="shared" ref="BO12:CM12" si="3">SIN(BO11)</f>
        <v>0.91354545710723078</v>
      </c>
      <c r="BP12">
        <f t="shared" si="3"/>
        <v>0.92050485293034501</v>
      </c>
      <c r="BQ12">
        <f t="shared" si="3"/>
        <v>0.9271838540587668</v>
      </c>
      <c r="BR12">
        <f t="shared" si="3"/>
        <v>0.93358042600405611</v>
      </c>
      <c r="BS12">
        <f t="shared" si="3"/>
        <v>0.93969262030843781</v>
      </c>
      <c r="BT12">
        <f t="shared" si="3"/>
        <v>0.94551857513832072</v>
      </c>
      <c r="BU12">
        <f t="shared" si="3"/>
        <v>0.95105651585143069</v>
      </c>
      <c r="BV12">
        <f t="shared" si="3"/>
        <v>0.95630475553738303</v>
      </c>
      <c r="BW12">
        <f t="shared" si="3"/>
        <v>0.96126169553153218</v>
      </c>
      <c r="BX12">
        <f t="shared" si="3"/>
        <v>0.96592582590194043</v>
      </c>
      <c r="BY12">
        <f t="shared" si="3"/>
        <v>0.97029572590931767</v>
      </c>
      <c r="BZ12">
        <f t="shared" si="3"/>
        <v>0.97437006443979279</v>
      </c>
      <c r="CA12">
        <f t="shared" si="3"/>
        <v>0.97814760041038296</v>
      </c>
      <c r="CB12">
        <f t="shared" si="3"/>
        <v>0.98162718314704045</v>
      </c>
      <c r="CC12">
        <f t="shared" si="3"/>
        <v>0.98480775273515864</v>
      </c>
      <c r="CD12">
        <f t="shared" si="3"/>
        <v>0.98768834034243236</v>
      </c>
      <c r="CE12">
        <f t="shared" si="3"/>
        <v>0.99026806851397353</v>
      </c>
      <c r="CF12">
        <f t="shared" si="3"/>
        <v>0.99254615143959246</v>
      </c>
      <c r="CG12">
        <f t="shared" si="3"/>
        <v>0.99452189519316336</v>
      </c>
      <c r="CH12">
        <f t="shared" si="3"/>
        <v>0.99619469794400084</v>
      </c>
      <c r="CI12">
        <f t="shared" si="3"/>
        <v>0.99756405014018323</v>
      </c>
      <c r="CJ12">
        <f t="shared" si="3"/>
        <v>0.99862953466376747</v>
      </c>
      <c r="CK12">
        <f t="shared" si="3"/>
        <v>0.99939082695784676</v>
      </c>
      <c r="CL12">
        <f t="shared" si="3"/>
        <v>0.99984769512541405</v>
      </c>
      <c r="CM12">
        <f t="shared" si="3"/>
        <v>1</v>
      </c>
    </row>
    <row r="18" spans="12:12" x14ac:dyDescent="0.25">
      <c r="L18">
        <f>360/30</f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Selection</vt:lpstr>
      <vt:lpstr> Data</vt:lpstr>
      <vt:lpstr>Week Tide</vt:lpstr>
      <vt:lpstr>Base Times</vt:lpstr>
      <vt:lpstr>Marina</vt:lpstr>
      <vt:lpstr>Sights</vt:lpstr>
      <vt:lpstr>July Tides</vt:lpstr>
      <vt:lpstr>October Tides</vt:lpstr>
      <vt:lpstr>Sheet3</vt:lpstr>
      <vt:lpstr>July</vt:lpstr>
      <vt:lpstr>'July Tides'!july_tides_practice_1</vt:lpstr>
      <vt:lpstr>Selection!Print_Area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2015-11-17T14:09:55Z</dcterms:created>
  <dcterms:modified xsi:type="dcterms:W3CDTF">2016-05-19T13:18:52Z</dcterms:modified>
</cp:coreProperties>
</file>